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555" yWindow="1680" windowWidth="15480" windowHeight="5925" tabRatio="845"/>
  </bookViews>
  <sheets>
    <sheet name="Cover" sheetId="53" r:id="rId1"/>
    <sheet name="Sign off" sheetId="54" r:id="rId2"/>
    <sheet name="Log" sheetId="19" r:id="rId3"/>
    <sheet name="Universal data" sheetId="56" r:id="rId4"/>
    <sheet name="1" sheetId="40" r:id="rId5"/>
    <sheet name="2a" sheetId="35" r:id="rId6"/>
    <sheet name="2b" sheetId="44" r:id="rId7"/>
    <sheet name="2c" sheetId="43" r:id="rId8"/>
    <sheet name="2d" sheetId="42" r:id="rId9"/>
    <sheet name="2e" sheetId="41" r:id="rId10"/>
    <sheet name="2f" sheetId="1" r:id="rId11"/>
    <sheet name="3a" sheetId="25" r:id="rId12"/>
    <sheet name="3b" sheetId="45" r:id="rId13"/>
    <sheet name="3c" sheetId="48" r:id="rId14"/>
    <sheet name="4a" sheetId="3" r:id="rId15"/>
    <sheet name="4b" sheetId="15" r:id="rId16"/>
    <sheet name="5a" sheetId="17" r:id="rId17"/>
    <sheet name="5b" sheetId="39" r:id="rId18"/>
    <sheet name="5c" sheetId="38" r:id="rId19"/>
    <sheet name="6" sheetId="49" r:id="rId20"/>
    <sheet name="7" sheetId="51" r:id="rId21"/>
    <sheet name="8" sheetId="52" r:id="rId22"/>
  </sheets>
  <externalReferences>
    <externalReference r:id="rId23"/>
  </externalReferences>
  <definedNames>
    <definedName name="_xlnm._FilterDatabase" localSheetId="16" hidden="1">'5a'!$B$8:$J$8</definedName>
    <definedName name="_xlnm._FilterDatabase" localSheetId="17" hidden="1">'5b'!$B$8:$J$8</definedName>
    <definedName name="_xlnm._FilterDatabase" localSheetId="18" hidden="1">'5c'!$B$8:$K$8</definedName>
    <definedName name="CompName">'[1]Input TO'!$C$11:$G$11</definedName>
    <definedName name="_xlnm.Print_Area" localSheetId="14">'4a'!$B$1:$O$249</definedName>
    <definedName name="_xlnm.Print_Area" localSheetId="15">'4b'!$B$1:$N$37</definedName>
    <definedName name="_xlnm.Print_Area" localSheetId="0">Cover!$A$1:$J$46</definedName>
    <definedName name="_xlnm.Print_Area" localSheetId="2">Log!$A$1:$J$21</definedName>
    <definedName name="_xlnm.Print_Titles" localSheetId="10">'2f'!$B:$E</definedName>
    <definedName name="_xlnm.Print_Titles" localSheetId="14">'4a'!$B:$D,'4a'!$8:$11</definedName>
    <definedName name="_xlnm.Print_Titles" localSheetId="20">'7'!$C:$D</definedName>
  </definedNames>
  <calcPr calcId="125725"/>
</workbook>
</file>

<file path=xl/calcChain.xml><?xml version="1.0" encoding="utf-8"?>
<calcChain xmlns="http://schemas.openxmlformats.org/spreadsheetml/2006/main">
  <c r="J9" i="51"/>
  <c r="F8" i="1" l="1"/>
  <c r="G8" s="1"/>
  <c r="H8" s="1"/>
  <c r="I8" s="1"/>
  <c r="J8" s="1"/>
  <c r="K8" s="1"/>
  <c r="L8" s="1"/>
  <c r="M8" s="1"/>
  <c r="N8" s="1"/>
  <c r="O8" s="1"/>
  <c r="P8" s="1"/>
  <c r="Q8" s="1"/>
  <c r="R8" s="1"/>
  <c r="S8" s="1"/>
  <c r="T8" s="1"/>
  <c r="U8" s="1"/>
  <c r="V8" s="1"/>
  <c r="W8" s="1"/>
  <c r="X8" s="1"/>
  <c r="Y8" s="1"/>
  <c r="Z8" s="1"/>
  <c r="AA8" s="1"/>
  <c r="D8" i="41"/>
  <c r="E8" s="1"/>
  <c r="F8" s="1"/>
  <c r="G8" s="1"/>
  <c r="H8" s="1"/>
  <c r="I8" s="1"/>
  <c r="J8" s="1"/>
  <c r="K8" s="1"/>
  <c r="L8" s="1"/>
  <c r="M8" s="1"/>
  <c r="N8" s="1"/>
  <c r="O8" s="1"/>
  <c r="P8" s="1"/>
  <c r="Q8" s="1"/>
  <c r="R8" s="1"/>
  <c r="S8" s="1"/>
  <c r="T8" s="1"/>
  <c r="U8" s="1"/>
  <c r="V8" s="1"/>
  <c r="W8" s="1"/>
  <c r="X8" s="1"/>
  <c r="Y8" s="1"/>
  <c r="D8" i="42"/>
  <c r="E8" s="1"/>
  <c r="F8" s="1"/>
  <c r="G8" s="1"/>
  <c r="H8" s="1"/>
  <c r="I8" s="1"/>
  <c r="J8" s="1"/>
  <c r="K8" s="1"/>
  <c r="L8" s="1"/>
  <c r="M8" s="1"/>
  <c r="N8" s="1"/>
  <c r="O8" s="1"/>
  <c r="P8" s="1"/>
  <c r="Q8" s="1"/>
  <c r="R8" s="1"/>
  <c r="S8" s="1"/>
  <c r="T8" s="1"/>
  <c r="U8" s="1"/>
  <c r="V8" s="1"/>
  <c r="W8" s="1"/>
  <c r="X8" s="1"/>
  <c r="Y8" s="1"/>
  <c r="D8" i="43"/>
  <c r="E8" s="1"/>
  <c r="F8" s="1"/>
  <c r="G8" s="1"/>
  <c r="H8" s="1"/>
  <c r="I8" s="1"/>
  <c r="J8" s="1"/>
  <c r="K8" s="1"/>
  <c r="L8" s="1"/>
  <c r="M8" s="1"/>
  <c r="N8" s="1"/>
  <c r="O8" s="1"/>
  <c r="P8" s="1"/>
  <c r="Q8" s="1"/>
  <c r="R8" s="1"/>
  <c r="S8" s="1"/>
  <c r="T8" s="1"/>
  <c r="U8" s="1"/>
  <c r="V8" s="1"/>
  <c r="W8" s="1"/>
  <c r="X8" s="1"/>
  <c r="Y8" s="1"/>
  <c r="D8" i="44"/>
  <c r="E8" s="1"/>
  <c r="F8" s="1"/>
  <c r="G8" s="1"/>
  <c r="H8" s="1"/>
  <c r="I8" s="1"/>
  <c r="J8" s="1"/>
  <c r="K8" s="1"/>
  <c r="L8" s="1"/>
  <c r="M8" s="1"/>
  <c r="N8" s="1"/>
  <c r="O8" s="1"/>
  <c r="P8" s="1"/>
  <c r="Q8" s="1"/>
  <c r="R8" s="1"/>
  <c r="S8" s="1"/>
  <c r="T8" s="1"/>
  <c r="U8" s="1"/>
  <c r="V8" s="1"/>
  <c r="W8" s="1"/>
  <c r="X8" s="1"/>
  <c r="Y8" s="1"/>
  <c r="F8" i="40"/>
  <c r="G8" s="1"/>
  <c r="H8" s="1"/>
  <c r="I8" s="1"/>
  <c r="J8" s="1"/>
  <c r="K8" s="1"/>
  <c r="L8" s="1"/>
  <c r="M8" s="1"/>
  <c r="N8" s="1"/>
  <c r="O8" s="1"/>
  <c r="P8" s="1"/>
  <c r="Q8" s="1"/>
  <c r="R8" s="1"/>
  <c r="S8" s="1"/>
  <c r="T8" s="1"/>
  <c r="U8" s="1"/>
  <c r="V8" s="1"/>
  <c r="W8" s="1"/>
  <c r="X8" s="1"/>
  <c r="Y8" s="1"/>
  <c r="E8"/>
  <c r="D8" i="35"/>
  <c r="E8" s="1"/>
  <c r="F8" s="1"/>
  <c r="G8" s="1"/>
  <c r="H8" s="1"/>
  <c r="I8" s="1"/>
  <c r="J8" s="1"/>
  <c r="K8" s="1"/>
  <c r="L8" s="1"/>
  <c r="M8" s="1"/>
  <c r="N8" s="1"/>
  <c r="O8" s="1"/>
  <c r="P8" s="1"/>
  <c r="Q8" s="1"/>
  <c r="R8" s="1"/>
  <c r="S8" s="1"/>
  <c r="T8" s="1"/>
  <c r="U8" s="1"/>
  <c r="V8" s="1"/>
  <c r="W8" s="1"/>
  <c r="X8" s="1"/>
  <c r="Y8" s="1"/>
  <c r="E35" i="42"/>
  <c r="F35"/>
  <c r="G35"/>
  <c r="H35"/>
  <c r="I35"/>
  <c r="J35"/>
  <c r="K35"/>
  <c r="L35"/>
  <c r="M35"/>
  <c r="N35"/>
  <c r="O35"/>
  <c r="P35"/>
  <c r="Q35"/>
  <c r="R35"/>
  <c r="S35"/>
  <c r="T35"/>
  <c r="U35"/>
  <c r="V35"/>
  <c r="W35"/>
  <c r="X35"/>
  <c r="D35"/>
  <c r="G50" i="1"/>
  <c r="H50"/>
  <c r="I50"/>
  <c r="J50"/>
  <c r="K50"/>
  <c r="L50"/>
  <c r="M50"/>
  <c r="N50"/>
  <c r="O50"/>
  <c r="P50"/>
  <c r="Q50"/>
  <c r="R50"/>
  <c r="S50"/>
  <c r="T50"/>
  <c r="U50"/>
  <c r="V50"/>
  <c r="W50"/>
  <c r="X50"/>
  <c r="Y50"/>
  <c r="Z50"/>
  <c r="F50"/>
  <c r="G51"/>
  <c r="D14" i="42"/>
  <c r="F9" i="17" l="1"/>
  <c r="E4" i="53"/>
  <c r="E3"/>
  <c r="E2"/>
  <c r="D4" i="54"/>
  <c r="D3"/>
  <c r="D2"/>
  <c r="E4" i="19"/>
  <c r="E3"/>
  <c r="E2"/>
  <c r="F10" i="17"/>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K9" i="51"/>
  <c r="F9"/>
  <c r="E9"/>
  <c r="C10" i="48"/>
  <c r="L10" i="45"/>
  <c r="B16" i="54"/>
  <c r="K27" i="51" l="1"/>
  <c r="J27"/>
  <c r="F58" i="3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58" i="39"/>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J261" i="3"/>
  <c r="K261" s="1"/>
  <c r="J260"/>
  <c r="K260" s="1"/>
  <c r="J259"/>
  <c r="K259" s="1"/>
  <c r="J258"/>
  <c r="K258" s="1"/>
  <c r="J257"/>
  <c r="K257" s="1"/>
  <c r="J256"/>
  <c r="K256" s="1"/>
  <c r="J255"/>
  <c r="K255" s="1"/>
  <c r="J254"/>
  <c r="K254" s="1"/>
  <c r="J253"/>
  <c r="K253" s="1"/>
  <c r="J252"/>
  <c r="K252" s="1"/>
  <c r="J251"/>
  <c r="K251" s="1"/>
  <c r="J250"/>
  <c r="K250" s="1"/>
  <c r="J17" i="51"/>
  <c r="G16" i="15"/>
  <c r="Y27" i="42"/>
  <c r="K15" i="51" l="1"/>
  <c r="J15"/>
  <c r="K17"/>
  <c r="G250" i="3"/>
  <c r="G251"/>
  <c r="G252"/>
  <c r="G253"/>
  <c r="G254"/>
  <c r="G255"/>
  <c r="G256"/>
  <c r="G257"/>
  <c r="G258"/>
  <c r="G259"/>
  <c r="G260"/>
  <c r="G261"/>
  <c r="J15"/>
  <c r="G15" s="1"/>
  <c r="J11"/>
  <c r="G11" s="1"/>
  <c r="Y17" i="42"/>
  <c r="Y16"/>
  <c r="I18"/>
  <c r="H18"/>
  <c r="G18"/>
  <c r="F18"/>
  <c r="E18"/>
  <c r="D18"/>
  <c r="I36" i="25" l="1"/>
  <c r="H36"/>
  <c r="I12"/>
  <c r="H12"/>
  <c r="D4" i="40"/>
  <c r="D3"/>
  <c r="D2"/>
  <c r="D4" i="35"/>
  <c r="D3"/>
  <c r="D2"/>
  <c r="D4" i="44"/>
  <c r="D3"/>
  <c r="D2"/>
  <c r="D4" i="43"/>
  <c r="D3"/>
  <c r="D2"/>
  <c r="D4" i="42"/>
  <c r="D3"/>
  <c r="D2"/>
  <c r="D4" i="41"/>
  <c r="D3"/>
  <c r="D2"/>
  <c r="D4" i="1"/>
  <c r="D3"/>
  <c r="D2"/>
  <c r="E4" i="25"/>
  <c r="E3"/>
  <c r="E2"/>
  <c r="E4" i="45"/>
  <c r="E3"/>
  <c r="E2"/>
  <c r="E4" i="48"/>
  <c r="E3"/>
  <c r="E2"/>
  <c r="E4" i="3"/>
  <c r="E3"/>
  <c r="E2"/>
  <c r="E4" i="15"/>
  <c r="E3"/>
  <c r="E2"/>
  <c r="E4" i="17"/>
  <c r="E3"/>
  <c r="E2"/>
  <c r="E4" i="39"/>
  <c r="E3"/>
  <c r="E2"/>
  <c r="E4" i="38"/>
  <c r="E3"/>
  <c r="E2"/>
  <c r="E4" i="49"/>
  <c r="E3"/>
  <c r="E2"/>
  <c r="D4" i="51"/>
  <c r="D3"/>
  <c r="D2"/>
  <c r="F4" i="52"/>
  <c r="F3"/>
  <c r="F2"/>
  <c r="D4" i="56"/>
  <c r="D3"/>
  <c r="D2"/>
  <c r="D34" i="42"/>
  <c r="E34"/>
  <c r="F34"/>
  <c r="G34"/>
  <c r="H34"/>
  <c r="I34"/>
  <c r="J34"/>
  <c r="K34"/>
  <c r="L34"/>
  <c r="M34"/>
  <c r="N34"/>
  <c r="O34"/>
  <c r="P34"/>
  <c r="Q34"/>
  <c r="R34"/>
  <c r="S34"/>
  <c r="T34"/>
  <c r="U34"/>
  <c r="V34"/>
  <c r="W34"/>
  <c r="X34"/>
  <c r="I22" i="49"/>
  <c r="D16" i="44"/>
  <c r="J244" i="3"/>
  <c r="G244" s="1"/>
  <c r="J245"/>
  <c r="G245" s="1"/>
  <c r="J246"/>
  <c r="G246" s="1"/>
  <c r="J247"/>
  <c r="G247" s="1"/>
  <c r="J248"/>
  <c r="G248" s="1"/>
  <c r="J249"/>
  <c r="G249" s="1"/>
  <c r="AA42" i="1"/>
  <c r="Y10" i="43"/>
  <c r="AA22" i="1"/>
  <c r="E35" i="40"/>
  <c r="F35" s="1"/>
  <c r="G35" s="1"/>
  <c r="H35" s="1"/>
  <c r="I35" s="1"/>
  <c r="J35" s="1"/>
  <c r="K35" s="1"/>
  <c r="L35" s="1"/>
  <c r="M35" s="1"/>
  <c r="N35" s="1"/>
  <c r="O35" s="1"/>
  <c r="E30"/>
  <c r="F30" s="1"/>
  <c r="G30" s="1"/>
  <c r="H30" s="1"/>
  <c r="I30" s="1"/>
  <c r="J30" s="1"/>
  <c r="K30" s="1"/>
  <c r="L30" s="1"/>
  <c r="M30" s="1"/>
  <c r="N30" s="1"/>
  <c r="O30" s="1"/>
  <c r="P30" s="1"/>
  <c r="Q30" s="1"/>
  <c r="R30" s="1"/>
  <c r="S30" s="1"/>
  <c r="T30" s="1"/>
  <c r="U30" s="1"/>
  <c r="V30" s="1"/>
  <c r="W30" s="1"/>
  <c r="X30" s="1"/>
  <c r="E31"/>
  <c r="F31" s="1"/>
  <c r="G31" s="1"/>
  <c r="H31" s="1"/>
  <c r="I31" s="1"/>
  <c r="J31" s="1"/>
  <c r="K31" s="1"/>
  <c r="L31" s="1"/>
  <c r="M31" s="1"/>
  <c r="N31" s="1"/>
  <c r="O31" s="1"/>
  <c r="P31" s="1"/>
  <c r="Q31" s="1"/>
  <c r="R31" s="1"/>
  <c r="S31" s="1"/>
  <c r="T31" s="1"/>
  <c r="U31" s="1"/>
  <c r="V31" s="1"/>
  <c r="W31" s="1"/>
  <c r="X31" s="1"/>
  <c r="X32"/>
  <c r="Y17" i="35"/>
  <c r="Z48" i="1"/>
  <c r="Z49"/>
  <c r="Z56"/>
  <c r="Z60"/>
  <c r="AA12"/>
  <c r="Z24"/>
  <c r="Z25"/>
  <c r="Z26"/>
  <c r="Z27"/>
  <c r="Z28"/>
  <c r="Z29"/>
  <c r="Z30"/>
  <c r="Z31"/>
  <c r="X12" i="41"/>
  <c r="X16"/>
  <c r="C39" i="54"/>
  <c r="F42"/>
  <c r="F32"/>
  <c r="F48"/>
  <c r="F37"/>
  <c r="A46"/>
  <c r="F36"/>
  <c r="C34"/>
  <c r="C38"/>
  <c r="A32"/>
  <c r="C36"/>
  <c r="F45"/>
  <c r="F31"/>
  <c r="C45"/>
  <c r="A43"/>
  <c r="A41"/>
  <c r="C35"/>
  <c r="F34"/>
  <c r="C43"/>
  <c r="C48"/>
  <c r="A31"/>
  <c r="A36"/>
  <c r="F47"/>
  <c r="F40"/>
  <c r="A38"/>
  <c r="C46"/>
  <c r="C44"/>
  <c r="A40"/>
  <c r="F41"/>
  <c r="A48"/>
  <c r="C47"/>
  <c r="F39"/>
  <c r="C31"/>
  <c r="A39"/>
  <c r="C40"/>
  <c r="A42"/>
  <c r="F46"/>
  <c r="A47"/>
  <c r="F43"/>
  <c r="C37"/>
  <c r="A37"/>
  <c r="F35"/>
  <c r="A44"/>
  <c r="F44"/>
  <c r="C41"/>
  <c r="C32"/>
  <c r="A34"/>
  <c r="A33"/>
  <c r="A45"/>
  <c r="A35"/>
  <c r="F33"/>
  <c r="C42"/>
  <c r="C33"/>
  <c r="F38"/>
  <c r="D29" i="40" l="1"/>
  <c r="E29" s="1"/>
  <c r="K249" i="3"/>
  <c r="K247"/>
  <c r="K245"/>
  <c r="K248"/>
  <c r="K246"/>
  <c r="K244"/>
  <c r="Z22" i="1"/>
  <c r="Z51"/>
  <c r="X36" i="42"/>
  <c r="Y10" i="35"/>
  <c r="E17"/>
  <c r="F17"/>
  <c r="G17"/>
  <c r="H17"/>
  <c r="I17"/>
  <c r="J17"/>
  <c r="K17"/>
  <c r="L17"/>
  <c r="M17"/>
  <c r="N17"/>
  <c r="O17"/>
  <c r="P17"/>
  <c r="Q17"/>
  <c r="R17"/>
  <c r="S17"/>
  <c r="T17"/>
  <c r="U17"/>
  <c r="V17"/>
  <c r="W17"/>
  <c r="X17"/>
  <c r="D13"/>
  <c r="E12" i="41"/>
  <c r="F12"/>
  <c r="G12"/>
  <c r="H12"/>
  <c r="I12"/>
  <c r="J12"/>
  <c r="K12"/>
  <c r="L12"/>
  <c r="M12"/>
  <c r="N12"/>
  <c r="O12"/>
  <c r="P12"/>
  <c r="Q12"/>
  <c r="R12"/>
  <c r="S12"/>
  <c r="T12"/>
  <c r="U12"/>
  <c r="V12"/>
  <c r="W12"/>
  <c r="G56" i="1"/>
  <c r="J32" i="51" s="1"/>
  <c r="H56" i="1"/>
  <c r="K32" i="51" s="1"/>
  <c r="I56" i="1"/>
  <c r="J56"/>
  <c r="K56"/>
  <c r="L56"/>
  <c r="M56"/>
  <c r="N56"/>
  <c r="O56"/>
  <c r="P56"/>
  <c r="Q56"/>
  <c r="R56"/>
  <c r="S56"/>
  <c r="T56"/>
  <c r="U56"/>
  <c r="V56"/>
  <c r="W56"/>
  <c r="X56"/>
  <c r="Y56"/>
  <c r="F56"/>
  <c r="D12" i="41"/>
  <c r="E12" i="43"/>
  <c r="F12"/>
  <c r="G12"/>
  <c r="H12"/>
  <c r="I12"/>
  <c r="J12"/>
  <c r="K12"/>
  <c r="L12"/>
  <c r="M12"/>
  <c r="N12"/>
  <c r="O12"/>
  <c r="P12"/>
  <c r="Q12"/>
  <c r="R12"/>
  <c r="S12"/>
  <c r="T12"/>
  <c r="U12"/>
  <c r="V12"/>
  <c r="W12"/>
  <c r="X12"/>
  <c r="E13"/>
  <c r="F13"/>
  <c r="G13"/>
  <c r="H13"/>
  <c r="I13"/>
  <c r="J13"/>
  <c r="K13"/>
  <c r="L13"/>
  <c r="M13"/>
  <c r="N13"/>
  <c r="O13"/>
  <c r="P13"/>
  <c r="Q13"/>
  <c r="R13"/>
  <c r="S13"/>
  <c r="T13"/>
  <c r="U13"/>
  <c r="V13"/>
  <c r="W13"/>
  <c r="X13"/>
  <c r="E14"/>
  <c r="F14"/>
  <c r="G14"/>
  <c r="H14"/>
  <c r="I14"/>
  <c r="J14"/>
  <c r="K14"/>
  <c r="L14"/>
  <c r="M14"/>
  <c r="N14"/>
  <c r="O14"/>
  <c r="P14"/>
  <c r="Q14"/>
  <c r="R14"/>
  <c r="S14"/>
  <c r="T14"/>
  <c r="U14"/>
  <c r="V14"/>
  <c r="W14"/>
  <c r="X14"/>
  <c r="E15"/>
  <c r="F15"/>
  <c r="G15"/>
  <c r="H15"/>
  <c r="I15"/>
  <c r="J15"/>
  <c r="K15"/>
  <c r="L15"/>
  <c r="M15"/>
  <c r="N15"/>
  <c r="O15"/>
  <c r="P15"/>
  <c r="Q15"/>
  <c r="R15"/>
  <c r="S15"/>
  <c r="T15"/>
  <c r="U15"/>
  <c r="V15"/>
  <c r="W15"/>
  <c r="X15"/>
  <c r="E16"/>
  <c r="F16"/>
  <c r="G16"/>
  <c r="H16"/>
  <c r="I16"/>
  <c r="J16"/>
  <c r="K16"/>
  <c r="L16"/>
  <c r="M16"/>
  <c r="N16"/>
  <c r="O16"/>
  <c r="P16"/>
  <c r="Q16"/>
  <c r="R16"/>
  <c r="S16"/>
  <c r="T16"/>
  <c r="U16"/>
  <c r="V16"/>
  <c r="W16"/>
  <c r="X16"/>
  <c r="E17"/>
  <c r="F17"/>
  <c r="G17"/>
  <c r="H17"/>
  <c r="I17"/>
  <c r="J17"/>
  <c r="K17"/>
  <c r="L17"/>
  <c r="M17"/>
  <c r="N17"/>
  <c r="O17"/>
  <c r="P17"/>
  <c r="Q17"/>
  <c r="R17"/>
  <c r="S17"/>
  <c r="T17"/>
  <c r="U17"/>
  <c r="V17"/>
  <c r="W17"/>
  <c r="X17"/>
  <c r="E18"/>
  <c r="F18"/>
  <c r="G18"/>
  <c r="H18"/>
  <c r="I18"/>
  <c r="J18"/>
  <c r="K18"/>
  <c r="L18"/>
  <c r="M18"/>
  <c r="N18"/>
  <c r="O18"/>
  <c r="P18"/>
  <c r="Q18"/>
  <c r="R18"/>
  <c r="S18"/>
  <c r="T18"/>
  <c r="U18"/>
  <c r="V18"/>
  <c r="W18"/>
  <c r="X18"/>
  <c r="E19"/>
  <c r="F19"/>
  <c r="G19"/>
  <c r="H19"/>
  <c r="I19"/>
  <c r="J19"/>
  <c r="K19"/>
  <c r="L19"/>
  <c r="M19"/>
  <c r="N19"/>
  <c r="O19"/>
  <c r="P19"/>
  <c r="Q19"/>
  <c r="R19"/>
  <c r="S19"/>
  <c r="T19"/>
  <c r="U19"/>
  <c r="V19"/>
  <c r="W19"/>
  <c r="X19"/>
  <c r="D13"/>
  <c r="D14"/>
  <c r="D15"/>
  <c r="D16"/>
  <c r="D17"/>
  <c r="D18"/>
  <c r="D19"/>
  <c r="G24" i="1"/>
  <c r="H24"/>
  <c r="I24"/>
  <c r="J24"/>
  <c r="K24"/>
  <c r="L24"/>
  <c r="M24"/>
  <c r="N24"/>
  <c r="O24"/>
  <c r="P24"/>
  <c r="Q24"/>
  <c r="R24"/>
  <c r="S24"/>
  <c r="T24"/>
  <c r="U24"/>
  <c r="V24"/>
  <c r="W24"/>
  <c r="X24"/>
  <c r="Y24"/>
  <c r="G25"/>
  <c r="H25"/>
  <c r="I25"/>
  <c r="J25"/>
  <c r="K25"/>
  <c r="L25"/>
  <c r="M25"/>
  <c r="N25"/>
  <c r="O25"/>
  <c r="P25"/>
  <c r="Q25"/>
  <c r="R25"/>
  <c r="S25"/>
  <c r="T25"/>
  <c r="U25"/>
  <c r="V25"/>
  <c r="W25"/>
  <c r="X25"/>
  <c r="Y25"/>
  <c r="G26"/>
  <c r="H26"/>
  <c r="I26"/>
  <c r="J26"/>
  <c r="K26"/>
  <c r="L26"/>
  <c r="M26"/>
  <c r="N26"/>
  <c r="O26"/>
  <c r="P26"/>
  <c r="Q26"/>
  <c r="R26"/>
  <c r="S26"/>
  <c r="T26"/>
  <c r="U26"/>
  <c r="V26"/>
  <c r="W26"/>
  <c r="X26"/>
  <c r="Y26"/>
  <c r="G27"/>
  <c r="H27"/>
  <c r="I27"/>
  <c r="J27"/>
  <c r="K27"/>
  <c r="L27"/>
  <c r="M27"/>
  <c r="N27"/>
  <c r="O27"/>
  <c r="P27"/>
  <c r="Q27"/>
  <c r="R27"/>
  <c r="S27"/>
  <c r="T27"/>
  <c r="U27"/>
  <c r="V27"/>
  <c r="W27"/>
  <c r="X27"/>
  <c r="Y27"/>
  <c r="G28"/>
  <c r="H28"/>
  <c r="I28"/>
  <c r="J28"/>
  <c r="K28"/>
  <c r="L28"/>
  <c r="M28"/>
  <c r="N28"/>
  <c r="O28"/>
  <c r="P28"/>
  <c r="Q28"/>
  <c r="R28"/>
  <c r="S28"/>
  <c r="T28"/>
  <c r="U28"/>
  <c r="V28"/>
  <c r="W28"/>
  <c r="X28"/>
  <c r="Y28"/>
  <c r="G29"/>
  <c r="H29"/>
  <c r="I29"/>
  <c r="J29"/>
  <c r="K29"/>
  <c r="L29"/>
  <c r="M29"/>
  <c r="N29"/>
  <c r="O29"/>
  <c r="P29"/>
  <c r="Q29"/>
  <c r="R29"/>
  <c r="S29"/>
  <c r="T29"/>
  <c r="U29"/>
  <c r="V29"/>
  <c r="W29"/>
  <c r="X29"/>
  <c r="Y29"/>
  <c r="G30"/>
  <c r="H30"/>
  <c r="I30"/>
  <c r="J30"/>
  <c r="K30"/>
  <c r="L30"/>
  <c r="M30"/>
  <c r="N30"/>
  <c r="O30"/>
  <c r="P30"/>
  <c r="Q30"/>
  <c r="R30"/>
  <c r="S30"/>
  <c r="T30"/>
  <c r="U30"/>
  <c r="V30"/>
  <c r="W30"/>
  <c r="X30"/>
  <c r="Y30"/>
  <c r="G31"/>
  <c r="H31"/>
  <c r="I31"/>
  <c r="J31"/>
  <c r="K31"/>
  <c r="L31"/>
  <c r="M31"/>
  <c r="N31"/>
  <c r="O31"/>
  <c r="P31"/>
  <c r="Q31"/>
  <c r="R31"/>
  <c r="S31"/>
  <c r="T31"/>
  <c r="U31"/>
  <c r="V31"/>
  <c r="W31"/>
  <c r="X31"/>
  <c r="Y31"/>
  <c r="F25"/>
  <c r="F26"/>
  <c r="F27"/>
  <c r="F28"/>
  <c r="F29"/>
  <c r="F30"/>
  <c r="F31"/>
  <c r="Z17"/>
  <c r="J10" i="3"/>
  <c r="G10" s="1"/>
  <c r="K11"/>
  <c r="J12"/>
  <c r="G12" s="1"/>
  <c r="J13"/>
  <c r="G13" s="1"/>
  <c r="J14"/>
  <c r="G14" s="1"/>
  <c r="J16"/>
  <c r="G16" s="1"/>
  <c r="J17"/>
  <c r="G17" s="1"/>
  <c r="J18"/>
  <c r="G18" s="1"/>
  <c r="J19"/>
  <c r="G19" s="1"/>
  <c r="J20"/>
  <c r="G20" s="1"/>
  <c r="J21"/>
  <c r="G21" s="1"/>
  <c r="J22"/>
  <c r="G22" s="1"/>
  <c r="J23"/>
  <c r="G23" s="1"/>
  <c r="J24"/>
  <c r="G24" s="1"/>
  <c r="J25"/>
  <c r="G25" s="1"/>
  <c r="J26"/>
  <c r="G26" s="1"/>
  <c r="J27"/>
  <c r="G27" s="1"/>
  <c r="J28"/>
  <c r="G28" s="1"/>
  <c r="J29"/>
  <c r="G29" s="1"/>
  <c r="J30"/>
  <c r="G30" s="1"/>
  <c r="J31"/>
  <c r="G31" s="1"/>
  <c r="J32"/>
  <c r="G32" s="1"/>
  <c r="J33"/>
  <c r="G33" s="1"/>
  <c r="J34"/>
  <c r="G34" s="1"/>
  <c r="J35"/>
  <c r="G35" s="1"/>
  <c r="J36"/>
  <c r="G36" s="1"/>
  <c r="J37"/>
  <c r="G37" s="1"/>
  <c r="J38"/>
  <c r="G38" s="1"/>
  <c r="J39"/>
  <c r="G39" s="1"/>
  <c r="J40"/>
  <c r="G40" s="1"/>
  <c r="J41"/>
  <c r="G41" s="1"/>
  <c r="J42"/>
  <c r="G42" s="1"/>
  <c r="J43"/>
  <c r="G43" s="1"/>
  <c r="J44"/>
  <c r="G44" s="1"/>
  <c r="J45"/>
  <c r="G45" s="1"/>
  <c r="J46"/>
  <c r="G46" s="1"/>
  <c r="J47"/>
  <c r="G47" s="1"/>
  <c r="J48"/>
  <c r="G48" s="1"/>
  <c r="J49"/>
  <c r="G49" s="1"/>
  <c r="J50"/>
  <c r="G50" s="1"/>
  <c r="J51"/>
  <c r="G51" s="1"/>
  <c r="J52"/>
  <c r="G52" s="1"/>
  <c r="J53"/>
  <c r="G53" s="1"/>
  <c r="J54"/>
  <c r="G54" s="1"/>
  <c r="J55"/>
  <c r="G55" s="1"/>
  <c r="J56"/>
  <c r="G56" s="1"/>
  <c r="J57"/>
  <c r="G57" s="1"/>
  <c r="J58"/>
  <c r="G58" s="1"/>
  <c r="J59"/>
  <c r="G59" s="1"/>
  <c r="J60"/>
  <c r="G60" s="1"/>
  <c r="J61"/>
  <c r="G61" s="1"/>
  <c r="J62"/>
  <c r="G62" s="1"/>
  <c r="J63"/>
  <c r="G63" s="1"/>
  <c r="J64"/>
  <c r="G64" s="1"/>
  <c r="J65"/>
  <c r="G65" s="1"/>
  <c r="J66"/>
  <c r="G66" s="1"/>
  <c r="J67"/>
  <c r="G67" s="1"/>
  <c r="J68"/>
  <c r="G68" s="1"/>
  <c r="J69"/>
  <c r="G69" s="1"/>
  <c r="J70"/>
  <c r="G70" s="1"/>
  <c r="J71"/>
  <c r="G71" s="1"/>
  <c r="J72"/>
  <c r="G72" s="1"/>
  <c r="J73"/>
  <c r="G73" s="1"/>
  <c r="J74"/>
  <c r="G74" s="1"/>
  <c r="J75"/>
  <c r="G75" s="1"/>
  <c r="J76"/>
  <c r="G76" s="1"/>
  <c r="J77"/>
  <c r="G77" s="1"/>
  <c r="J78"/>
  <c r="G78" s="1"/>
  <c r="J79"/>
  <c r="G79" s="1"/>
  <c r="J80"/>
  <c r="G80" s="1"/>
  <c r="J81"/>
  <c r="G81" s="1"/>
  <c r="J82"/>
  <c r="G82" s="1"/>
  <c r="J83"/>
  <c r="G83" s="1"/>
  <c r="J84"/>
  <c r="G84" s="1"/>
  <c r="J85"/>
  <c r="G85" s="1"/>
  <c r="J86"/>
  <c r="G86" s="1"/>
  <c r="J87"/>
  <c r="G87" s="1"/>
  <c r="J88"/>
  <c r="G88" s="1"/>
  <c r="J89"/>
  <c r="G89" s="1"/>
  <c r="J90"/>
  <c r="G90" s="1"/>
  <c r="J91"/>
  <c r="G91" s="1"/>
  <c r="J92"/>
  <c r="G92" s="1"/>
  <c r="J93"/>
  <c r="G93" s="1"/>
  <c r="J94"/>
  <c r="G94" s="1"/>
  <c r="J95"/>
  <c r="G95" s="1"/>
  <c r="J96"/>
  <c r="G96" s="1"/>
  <c r="J97"/>
  <c r="G97" s="1"/>
  <c r="J98"/>
  <c r="G98" s="1"/>
  <c r="J99"/>
  <c r="G99" s="1"/>
  <c r="J100"/>
  <c r="G100" s="1"/>
  <c r="J101"/>
  <c r="G101" s="1"/>
  <c r="J102"/>
  <c r="G102" s="1"/>
  <c r="J103"/>
  <c r="G103" s="1"/>
  <c r="J104"/>
  <c r="G104" s="1"/>
  <c r="J105"/>
  <c r="G105" s="1"/>
  <c r="J106"/>
  <c r="G106" s="1"/>
  <c r="J107"/>
  <c r="G107" s="1"/>
  <c r="J108"/>
  <c r="G108" s="1"/>
  <c r="J109"/>
  <c r="G109" s="1"/>
  <c r="J110"/>
  <c r="G110" s="1"/>
  <c r="J111"/>
  <c r="G111" s="1"/>
  <c r="J112"/>
  <c r="G112" s="1"/>
  <c r="J113"/>
  <c r="G113" s="1"/>
  <c r="J114"/>
  <c r="G114" s="1"/>
  <c r="J115"/>
  <c r="G115" s="1"/>
  <c r="J116"/>
  <c r="G116" s="1"/>
  <c r="J117"/>
  <c r="G117" s="1"/>
  <c r="J118"/>
  <c r="G118" s="1"/>
  <c r="J119"/>
  <c r="G119" s="1"/>
  <c r="J120"/>
  <c r="G120" s="1"/>
  <c r="J121"/>
  <c r="G121" s="1"/>
  <c r="J122"/>
  <c r="G122" s="1"/>
  <c r="J123"/>
  <c r="G123" s="1"/>
  <c r="J124"/>
  <c r="G124" s="1"/>
  <c r="J125"/>
  <c r="G125" s="1"/>
  <c r="J126"/>
  <c r="G126" s="1"/>
  <c r="J127"/>
  <c r="G127" s="1"/>
  <c r="J128"/>
  <c r="G128" s="1"/>
  <c r="J129"/>
  <c r="G129" s="1"/>
  <c r="J130"/>
  <c r="G130" s="1"/>
  <c r="J131"/>
  <c r="G131" s="1"/>
  <c r="J132"/>
  <c r="G132" s="1"/>
  <c r="J133"/>
  <c r="G133" s="1"/>
  <c r="J134"/>
  <c r="G134" s="1"/>
  <c r="J135"/>
  <c r="G135" s="1"/>
  <c r="J136"/>
  <c r="G136" s="1"/>
  <c r="J137"/>
  <c r="G137" s="1"/>
  <c r="J138"/>
  <c r="G138" s="1"/>
  <c r="J139"/>
  <c r="G139" s="1"/>
  <c r="J140"/>
  <c r="G140" s="1"/>
  <c r="J141"/>
  <c r="G141" s="1"/>
  <c r="J142"/>
  <c r="G142" s="1"/>
  <c r="J143"/>
  <c r="G143" s="1"/>
  <c r="J144"/>
  <c r="G144" s="1"/>
  <c r="J145"/>
  <c r="G145" s="1"/>
  <c r="J146"/>
  <c r="G146" s="1"/>
  <c r="J147"/>
  <c r="G147" s="1"/>
  <c r="J148"/>
  <c r="G148" s="1"/>
  <c r="J149"/>
  <c r="G149" s="1"/>
  <c r="J150"/>
  <c r="G150" s="1"/>
  <c r="J151"/>
  <c r="G151" s="1"/>
  <c r="J152"/>
  <c r="G152" s="1"/>
  <c r="J153"/>
  <c r="G153" s="1"/>
  <c r="J154"/>
  <c r="G154" s="1"/>
  <c r="J155"/>
  <c r="G155" s="1"/>
  <c r="J156"/>
  <c r="G156" s="1"/>
  <c r="J157"/>
  <c r="G157" s="1"/>
  <c r="J158"/>
  <c r="G158" s="1"/>
  <c r="J159"/>
  <c r="G159" s="1"/>
  <c r="J160"/>
  <c r="G160" s="1"/>
  <c r="J161"/>
  <c r="G161" s="1"/>
  <c r="J162"/>
  <c r="G162" s="1"/>
  <c r="J163"/>
  <c r="G163" s="1"/>
  <c r="J164"/>
  <c r="G164" s="1"/>
  <c r="J165"/>
  <c r="G165" s="1"/>
  <c r="J166"/>
  <c r="G166" s="1"/>
  <c r="J167"/>
  <c r="G167" s="1"/>
  <c r="J168"/>
  <c r="G168" s="1"/>
  <c r="J169"/>
  <c r="G169" s="1"/>
  <c r="J170"/>
  <c r="G170" s="1"/>
  <c r="J171"/>
  <c r="G171" s="1"/>
  <c r="J172"/>
  <c r="G172" s="1"/>
  <c r="J173"/>
  <c r="G173" s="1"/>
  <c r="J174"/>
  <c r="G174" s="1"/>
  <c r="J175"/>
  <c r="G175" s="1"/>
  <c r="J176"/>
  <c r="G176" s="1"/>
  <c r="J177"/>
  <c r="G177" s="1"/>
  <c r="J178"/>
  <c r="G178" s="1"/>
  <c r="J179"/>
  <c r="G179" s="1"/>
  <c r="J180"/>
  <c r="G180" s="1"/>
  <c r="J181"/>
  <c r="G181" s="1"/>
  <c r="J182"/>
  <c r="G182" s="1"/>
  <c r="J183"/>
  <c r="G183" s="1"/>
  <c r="J184"/>
  <c r="G184" s="1"/>
  <c r="J185"/>
  <c r="G185" s="1"/>
  <c r="J186"/>
  <c r="G186" s="1"/>
  <c r="J187"/>
  <c r="G187" s="1"/>
  <c r="J188"/>
  <c r="G188" s="1"/>
  <c r="J189"/>
  <c r="G189" s="1"/>
  <c r="J190"/>
  <c r="G190" s="1"/>
  <c r="J191"/>
  <c r="G191" s="1"/>
  <c r="J192"/>
  <c r="G192" s="1"/>
  <c r="J193"/>
  <c r="G193" s="1"/>
  <c r="J194"/>
  <c r="G194" s="1"/>
  <c r="J195"/>
  <c r="G195" s="1"/>
  <c r="J196"/>
  <c r="G196" s="1"/>
  <c r="J197"/>
  <c r="G197" s="1"/>
  <c r="J198"/>
  <c r="G198" s="1"/>
  <c r="J199"/>
  <c r="G199" s="1"/>
  <c r="J200"/>
  <c r="G200" s="1"/>
  <c r="J201"/>
  <c r="G201" s="1"/>
  <c r="J202"/>
  <c r="G202" s="1"/>
  <c r="J203"/>
  <c r="G203" s="1"/>
  <c r="J204"/>
  <c r="G204" s="1"/>
  <c r="J205"/>
  <c r="G205" s="1"/>
  <c r="J206"/>
  <c r="G206" s="1"/>
  <c r="J207"/>
  <c r="G207" s="1"/>
  <c r="J208"/>
  <c r="G208" s="1"/>
  <c r="J209"/>
  <c r="G209" s="1"/>
  <c r="J210"/>
  <c r="G210" s="1"/>
  <c r="J211"/>
  <c r="G211" s="1"/>
  <c r="J212"/>
  <c r="G212" s="1"/>
  <c r="J213"/>
  <c r="G213" s="1"/>
  <c r="J214"/>
  <c r="G214" s="1"/>
  <c r="J215"/>
  <c r="G215" s="1"/>
  <c r="J216"/>
  <c r="G216" s="1"/>
  <c r="J217"/>
  <c r="G217" s="1"/>
  <c r="J218"/>
  <c r="G218" s="1"/>
  <c r="J219"/>
  <c r="G219" s="1"/>
  <c r="J220"/>
  <c r="G220" s="1"/>
  <c r="J221"/>
  <c r="G221" s="1"/>
  <c r="J222"/>
  <c r="G222" s="1"/>
  <c r="J223"/>
  <c r="G223" s="1"/>
  <c r="J224"/>
  <c r="G224" s="1"/>
  <c r="J225"/>
  <c r="G225" s="1"/>
  <c r="J226"/>
  <c r="G226" s="1"/>
  <c r="J227"/>
  <c r="G227" s="1"/>
  <c r="J228"/>
  <c r="G228" s="1"/>
  <c r="J229"/>
  <c r="G229" s="1"/>
  <c r="J230"/>
  <c r="G230" s="1"/>
  <c r="J231"/>
  <c r="G231" s="1"/>
  <c r="J232"/>
  <c r="G232" s="1"/>
  <c r="J233"/>
  <c r="G233" s="1"/>
  <c r="J234"/>
  <c r="G234" s="1"/>
  <c r="J235"/>
  <c r="G235" s="1"/>
  <c r="J236"/>
  <c r="G236" s="1"/>
  <c r="J237"/>
  <c r="G237" s="1"/>
  <c r="J238"/>
  <c r="G238" s="1"/>
  <c r="J239"/>
  <c r="G239" s="1"/>
  <c r="J240"/>
  <c r="G240" s="1"/>
  <c r="J241"/>
  <c r="G241" s="1"/>
  <c r="J242"/>
  <c r="G242" s="1"/>
  <c r="J243"/>
  <c r="G243" s="1"/>
  <c r="D12" i="43"/>
  <c r="G60" i="1"/>
  <c r="J36" i="51" s="1"/>
  <c r="H60" i="1"/>
  <c r="K36" i="51" s="1"/>
  <c r="I60" i="1"/>
  <c r="J60"/>
  <c r="K60"/>
  <c r="L60"/>
  <c r="M60"/>
  <c r="N60"/>
  <c r="O60"/>
  <c r="P60"/>
  <c r="Q60"/>
  <c r="R60"/>
  <c r="S60"/>
  <c r="T60"/>
  <c r="U60"/>
  <c r="V60"/>
  <c r="W60"/>
  <c r="X60"/>
  <c r="Y60"/>
  <c r="F60"/>
  <c r="E16" i="41"/>
  <c r="F16"/>
  <c r="G16"/>
  <c r="H16"/>
  <c r="I16"/>
  <c r="J16"/>
  <c r="K16"/>
  <c r="L16"/>
  <c r="M16"/>
  <c r="N16"/>
  <c r="O16"/>
  <c r="P16"/>
  <c r="Q16"/>
  <c r="R16"/>
  <c r="S16"/>
  <c r="T16"/>
  <c r="U16"/>
  <c r="V16"/>
  <c r="W16"/>
  <c r="D16"/>
  <c r="F58" i="1"/>
  <c r="H51"/>
  <c r="I51"/>
  <c r="J51"/>
  <c r="K51"/>
  <c r="L51"/>
  <c r="M51"/>
  <c r="N51"/>
  <c r="O51"/>
  <c r="P51"/>
  <c r="Q51"/>
  <c r="R51"/>
  <c r="S51"/>
  <c r="T51"/>
  <c r="U51"/>
  <c r="V51"/>
  <c r="W51"/>
  <c r="X51"/>
  <c r="Y51"/>
  <c r="G48"/>
  <c r="H48"/>
  <c r="I48"/>
  <c r="J48"/>
  <c r="K48"/>
  <c r="L48"/>
  <c r="M48"/>
  <c r="N48"/>
  <c r="O48"/>
  <c r="P48"/>
  <c r="Q48"/>
  <c r="R48"/>
  <c r="S48"/>
  <c r="T48"/>
  <c r="U48"/>
  <c r="V48"/>
  <c r="W48"/>
  <c r="X48"/>
  <c r="Y48"/>
  <c r="G49"/>
  <c r="J26" i="51" s="1"/>
  <c r="H49" i="1"/>
  <c r="K26" i="51" s="1"/>
  <c r="I49" i="1"/>
  <c r="J49"/>
  <c r="K49"/>
  <c r="L49"/>
  <c r="M49"/>
  <c r="N49"/>
  <c r="O49"/>
  <c r="P49"/>
  <c r="Q49"/>
  <c r="R49"/>
  <c r="S49"/>
  <c r="T49"/>
  <c r="U49"/>
  <c r="V49"/>
  <c r="W49"/>
  <c r="X49"/>
  <c r="Y49"/>
  <c r="G17"/>
  <c r="H17"/>
  <c r="I17"/>
  <c r="J17"/>
  <c r="K17"/>
  <c r="L17"/>
  <c r="M17"/>
  <c r="N17"/>
  <c r="O17"/>
  <c r="P17"/>
  <c r="Q17"/>
  <c r="R17"/>
  <c r="S17"/>
  <c r="T17"/>
  <c r="U17"/>
  <c r="V17"/>
  <c r="W17"/>
  <c r="X17"/>
  <c r="Y17"/>
  <c r="D14" i="41"/>
  <c r="E36" i="42"/>
  <c r="F36"/>
  <c r="G36"/>
  <c r="H36"/>
  <c r="I36"/>
  <c r="J36"/>
  <c r="K36"/>
  <c r="L36"/>
  <c r="M36"/>
  <c r="N36"/>
  <c r="O36"/>
  <c r="P36"/>
  <c r="Q36"/>
  <c r="R36"/>
  <c r="S36"/>
  <c r="T36"/>
  <c r="U36"/>
  <c r="V36"/>
  <c r="W36"/>
  <c r="D36"/>
  <c r="E15" i="44"/>
  <c r="E17" i="42" s="1"/>
  <c r="K18" s="1"/>
  <c r="F15" i="44"/>
  <c r="F17" i="42" s="1"/>
  <c r="L18" s="1"/>
  <c r="G15" i="44"/>
  <c r="G17" i="42" s="1"/>
  <c r="M18" s="1"/>
  <c r="H15" i="44"/>
  <c r="H17" i="42" s="1"/>
  <c r="N18" s="1"/>
  <c r="I15" i="44"/>
  <c r="I17" i="42" s="1"/>
  <c r="O18" s="1"/>
  <c r="J15" i="44"/>
  <c r="J17" i="42" s="1"/>
  <c r="P18" s="1"/>
  <c r="K15" i="44"/>
  <c r="K17" i="42" s="1"/>
  <c r="Q18" s="1"/>
  <c r="L15" i="44"/>
  <c r="L17" i="42" s="1"/>
  <c r="R18" s="1"/>
  <c r="M15" i="44"/>
  <c r="M17" i="42" s="1"/>
  <c r="S18" s="1"/>
  <c r="N15" i="44"/>
  <c r="N17" i="42" s="1"/>
  <c r="T18" s="1"/>
  <c r="O15" i="44"/>
  <c r="O17" i="42" s="1"/>
  <c r="U18" s="1"/>
  <c r="P15" i="44"/>
  <c r="P17" i="42" s="1"/>
  <c r="V18" s="1"/>
  <c r="Q15" i="44"/>
  <c r="Q17" i="42" s="1"/>
  <c r="W18" s="1"/>
  <c r="R15" i="44"/>
  <c r="R17" i="42" s="1"/>
  <c r="X18" s="1"/>
  <c r="S15" i="44"/>
  <c r="S17" i="42" s="1"/>
  <c r="Y18" s="1"/>
  <c r="T15" i="44"/>
  <c r="T17" i="42" s="1"/>
  <c r="U15" i="44"/>
  <c r="U17" i="42" s="1"/>
  <c r="V15" i="44"/>
  <c r="V17" i="42" s="1"/>
  <c r="W15" i="44"/>
  <c r="W17" i="42" s="1"/>
  <c r="D13" i="44"/>
  <c r="D14"/>
  <c r="D15"/>
  <c r="D12"/>
  <c r="F51" i="1"/>
  <c r="F48"/>
  <c r="F49"/>
  <c r="F24"/>
  <c r="F22" s="1"/>
  <c r="F15"/>
  <c r="F16"/>
  <c r="G16" s="1"/>
  <c r="H16" s="1"/>
  <c r="E17" i="51" s="1"/>
  <c r="F17" i="1"/>
  <c r="F14"/>
  <c r="E27" i="40"/>
  <c r="G58" i="1" s="1"/>
  <c r="E14" i="44"/>
  <c r="H30" i="25"/>
  <c r="J14" i="45" s="1"/>
  <c r="I30" i="25"/>
  <c r="H54"/>
  <c r="I54"/>
  <c r="D17" i="35"/>
  <c r="F29" i="40" l="1"/>
  <c r="G29" s="1"/>
  <c r="H29" s="1"/>
  <c r="I29" s="1"/>
  <c r="J29" s="1"/>
  <c r="K29" s="1"/>
  <c r="L29" s="1"/>
  <c r="M29" s="1"/>
  <c r="N29" s="1"/>
  <c r="O29" s="1"/>
  <c r="P29" s="1"/>
  <c r="Q29" s="1"/>
  <c r="R29" s="1"/>
  <c r="S29" s="1"/>
  <c r="T29" s="1"/>
  <c r="U29" s="1"/>
  <c r="V29" s="1"/>
  <c r="W29" s="1"/>
  <c r="X29" s="1"/>
  <c r="E12" i="44"/>
  <c r="K28" i="51"/>
  <c r="J28"/>
  <c r="G14" i="1"/>
  <c r="H14" s="1"/>
  <c r="G15"/>
  <c r="H15" s="1"/>
  <c r="I15" s="1"/>
  <c r="J25" i="51"/>
  <c r="K25"/>
  <c r="E18"/>
  <c r="D10" i="43"/>
  <c r="D11" i="35" s="1"/>
  <c r="F32" i="51"/>
  <c r="E31"/>
  <c r="F30"/>
  <c r="E29"/>
  <c r="F28"/>
  <c r="E27"/>
  <c r="F26"/>
  <c r="E25"/>
  <c r="E32"/>
  <c r="F31"/>
  <c r="E30"/>
  <c r="F29"/>
  <c r="E28"/>
  <c r="F27"/>
  <c r="E26"/>
  <c r="F25"/>
  <c r="F18"/>
  <c r="E16"/>
  <c r="I14" i="1"/>
  <c r="K242" i="3"/>
  <c r="K240"/>
  <c r="K238"/>
  <c r="K236"/>
  <c r="K234"/>
  <c r="K232"/>
  <c r="K230"/>
  <c r="K228"/>
  <c r="K226"/>
  <c r="K224"/>
  <c r="K222"/>
  <c r="K220"/>
  <c r="K218"/>
  <c r="K216"/>
  <c r="K214"/>
  <c r="K212"/>
  <c r="K210"/>
  <c r="K208"/>
  <c r="K206"/>
  <c r="K204"/>
  <c r="K202"/>
  <c r="K200"/>
  <c r="K198"/>
  <c r="K196"/>
  <c r="K194"/>
  <c r="K192"/>
  <c r="K190"/>
  <c r="K188"/>
  <c r="K186"/>
  <c r="K184"/>
  <c r="K182"/>
  <c r="K180"/>
  <c r="K178"/>
  <c r="K176"/>
  <c r="K174"/>
  <c r="K172"/>
  <c r="K170"/>
  <c r="K168"/>
  <c r="K166"/>
  <c r="K164"/>
  <c r="K162"/>
  <c r="K160"/>
  <c r="K158"/>
  <c r="K156"/>
  <c r="K154"/>
  <c r="K152"/>
  <c r="K150"/>
  <c r="K148"/>
  <c r="K146"/>
  <c r="K144"/>
  <c r="K142"/>
  <c r="K140"/>
  <c r="K138"/>
  <c r="K136"/>
  <c r="K134"/>
  <c r="K132"/>
  <c r="K130"/>
  <c r="K128"/>
  <c r="K126"/>
  <c r="K124"/>
  <c r="K122"/>
  <c r="K120"/>
  <c r="K118"/>
  <c r="K116"/>
  <c r="K114"/>
  <c r="K112"/>
  <c r="K110"/>
  <c r="K108"/>
  <c r="K106"/>
  <c r="K104"/>
  <c r="K102"/>
  <c r="K100"/>
  <c r="K98"/>
  <c r="K96"/>
  <c r="K94"/>
  <c r="K92"/>
  <c r="K90"/>
  <c r="K88"/>
  <c r="K86"/>
  <c r="K84"/>
  <c r="K82"/>
  <c r="K80"/>
  <c r="K78"/>
  <c r="K76"/>
  <c r="K74"/>
  <c r="K72"/>
  <c r="K70"/>
  <c r="K68"/>
  <c r="K66"/>
  <c r="K64"/>
  <c r="K62"/>
  <c r="K60"/>
  <c r="K58"/>
  <c r="K56"/>
  <c r="K54"/>
  <c r="K52"/>
  <c r="K50"/>
  <c r="K48"/>
  <c r="K46"/>
  <c r="K44"/>
  <c r="K42"/>
  <c r="K40"/>
  <c r="K38"/>
  <c r="K36"/>
  <c r="K34"/>
  <c r="K32"/>
  <c r="K30"/>
  <c r="K28"/>
  <c r="K26"/>
  <c r="K24"/>
  <c r="K22"/>
  <c r="K20"/>
  <c r="K18"/>
  <c r="K16"/>
  <c r="K14"/>
  <c r="K12"/>
  <c r="K10"/>
  <c r="K243"/>
  <c r="K241"/>
  <c r="K239"/>
  <c r="K237"/>
  <c r="K235"/>
  <c r="K233"/>
  <c r="K231"/>
  <c r="K229"/>
  <c r="K227"/>
  <c r="K225"/>
  <c r="K223"/>
  <c r="K221"/>
  <c r="K219"/>
  <c r="K217"/>
  <c r="K215"/>
  <c r="K213"/>
  <c r="K211"/>
  <c r="K209"/>
  <c r="K207"/>
  <c r="K205"/>
  <c r="K203"/>
  <c r="K201"/>
  <c r="K199"/>
  <c r="K197"/>
  <c r="K195"/>
  <c r="K193"/>
  <c r="K191"/>
  <c r="K189"/>
  <c r="K187"/>
  <c r="K185"/>
  <c r="K183"/>
  <c r="K181"/>
  <c r="K179"/>
  <c r="K177"/>
  <c r="K175"/>
  <c r="K173"/>
  <c r="K171"/>
  <c r="K169"/>
  <c r="K167"/>
  <c r="K165"/>
  <c r="K163"/>
  <c r="K161"/>
  <c r="K159"/>
  <c r="K157"/>
  <c r="K155"/>
  <c r="K153"/>
  <c r="K151"/>
  <c r="K149"/>
  <c r="K147"/>
  <c r="K145"/>
  <c r="K143"/>
  <c r="K141"/>
  <c r="K139"/>
  <c r="K137"/>
  <c r="K135"/>
  <c r="K133"/>
  <c r="K131"/>
  <c r="K129"/>
  <c r="K127"/>
  <c r="K125"/>
  <c r="K123"/>
  <c r="K121"/>
  <c r="K119"/>
  <c r="K117"/>
  <c r="K115"/>
  <c r="K113"/>
  <c r="K111"/>
  <c r="K109"/>
  <c r="K107"/>
  <c r="K105"/>
  <c r="K103"/>
  <c r="K101"/>
  <c r="K99"/>
  <c r="K97"/>
  <c r="K95"/>
  <c r="K93"/>
  <c r="K91"/>
  <c r="K89"/>
  <c r="K87"/>
  <c r="K85"/>
  <c r="K83"/>
  <c r="K81"/>
  <c r="K79"/>
  <c r="K77"/>
  <c r="K75"/>
  <c r="K73"/>
  <c r="K71"/>
  <c r="K69"/>
  <c r="K67"/>
  <c r="K65"/>
  <c r="K63"/>
  <c r="K61"/>
  <c r="K59"/>
  <c r="K57"/>
  <c r="K55"/>
  <c r="K53"/>
  <c r="K51"/>
  <c r="K49"/>
  <c r="K47"/>
  <c r="K45"/>
  <c r="K43"/>
  <c r="K41"/>
  <c r="K39"/>
  <c r="K37"/>
  <c r="K35"/>
  <c r="K33"/>
  <c r="K31"/>
  <c r="K29"/>
  <c r="K27"/>
  <c r="K25"/>
  <c r="K23"/>
  <c r="K21"/>
  <c r="K19"/>
  <c r="K17"/>
  <c r="K15"/>
  <c r="K13"/>
  <c r="J13" i="45"/>
  <c r="X15" i="44"/>
  <c r="X17" i="42" s="1"/>
  <c r="D17"/>
  <c r="J18" s="1"/>
  <c r="X10" i="43"/>
  <c r="X11" i="35" s="1"/>
  <c r="V10" i="43"/>
  <c r="V11" i="35" s="1"/>
  <c r="T10" i="43"/>
  <c r="T11" i="35" s="1"/>
  <c r="R10" i="43"/>
  <c r="P10"/>
  <c r="P11" i="35" s="1"/>
  <c r="N10" i="43"/>
  <c r="N11" i="35" s="1"/>
  <c r="L10" i="43"/>
  <c r="L11" i="35" s="1"/>
  <c r="J10" i="43"/>
  <c r="J11" i="35" s="1"/>
  <c r="H10" i="43"/>
  <c r="H11" i="35" s="1"/>
  <c r="F10" i="43"/>
  <c r="F11" i="35" s="1"/>
  <c r="W10" i="43"/>
  <c r="U10"/>
  <c r="U11" i="35" s="1"/>
  <c r="S10" i="43"/>
  <c r="S11" i="35" s="1"/>
  <c r="Q10" i="43"/>
  <c r="Q11" i="35" s="1"/>
  <c r="O10" i="43"/>
  <c r="O11" i="35" s="1"/>
  <c r="M10" i="43"/>
  <c r="M11" i="35" s="1"/>
  <c r="K10" i="43"/>
  <c r="K11" i="35" s="1"/>
  <c r="I10" i="43"/>
  <c r="I11" i="35" s="1"/>
  <c r="G10" i="43"/>
  <c r="E10"/>
  <c r="E11" i="35" s="1"/>
  <c r="X22" i="1"/>
  <c r="V22"/>
  <c r="T22"/>
  <c r="R22"/>
  <c r="P22"/>
  <c r="N22"/>
  <c r="L22"/>
  <c r="J22"/>
  <c r="H22"/>
  <c r="Y22"/>
  <c r="W22"/>
  <c r="U22"/>
  <c r="S22"/>
  <c r="Q22"/>
  <c r="O22"/>
  <c r="M22"/>
  <c r="K22"/>
  <c r="I22"/>
  <c r="G22"/>
  <c r="Y11" i="35"/>
  <c r="W11"/>
  <c r="G11"/>
  <c r="R11"/>
  <c r="F27" i="40"/>
  <c r="F14" i="41" s="1"/>
  <c r="F12" i="44"/>
  <c r="F13"/>
  <c r="G14"/>
  <c r="F14"/>
  <c r="E13"/>
  <c r="E14" i="41"/>
  <c r="I16" i="1"/>
  <c r="F17" i="51" s="1"/>
  <c r="E15" l="1"/>
  <c r="F23"/>
  <c r="G27" i="40"/>
  <c r="H58" i="1"/>
  <c r="E23" i="51"/>
  <c r="J14" i="1"/>
  <c r="K14" s="1"/>
  <c r="L14" s="1"/>
  <c r="M14" s="1"/>
  <c r="F15" i="51"/>
  <c r="J15" i="1"/>
  <c r="K15" s="1"/>
  <c r="L15" s="1"/>
  <c r="M15" s="1"/>
  <c r="N15" s="1"/>
  <c r="O15" s="1"/>
  <c r="P15" s="1"/>
  <c r="Q15" s="1"/>
  <c r="R15" s="1"/>
  <c r="S15" s="1"/>
  <c r="T15" s="1"/>
  <c r="U15" s="1"/>
  <c r="V15" s="1"/>
  <c r="W15" s="1"/>
  <c r="X15" s="1"/>
  <c r="Y15" s="1"/>
  <c r="Z15" s="1"/>
  <c r="F16" i="51"/>
  <c r="L15" i="45"/>
  <c r="D18" i="44"/>
  <c r="F20" i="1"/>
  <c r="G12" i="44"/>
  <c r="H14"/>
  <c r="I58" i="1"/>
  <c r="G14" i="41"/>
  <c r="H27" i="40"/>
  <c r="G13" i="44"/>
  <c r="J16" i="1"/>
  <c r="K34" i="51" l="1"/>
  <c r="J34"/>
  <c r="L28" i="45"/>
  <c r="L32" s="1"/>
  <c r="F18" i="1"/>
  <c r="F12" s="1"/>
  <c r="F46" s="1"/>
  <c r="D10" i="44"/>
  <c r="D31" i="42" s="1"/>
  <c r="H12" i="44"/>
  <c r="H13"/>
  <c r="H14" i="41"/>
  <c r="I27" i="40"/>
  <c r="J58" i="1"/>
  <c r="I14" i="44"/>
  <c r="K16" i="1"/>
  <c r="N14"/>
  <c r="D16" i="42" l="1"/>
  <c r="F52" i="1"/>
  <c r="D10" i="35"/>
  <c r="D29" i="42"/>
  <c r="D27" s="1"/>
  <c r="I12" i="44"/>
  <c r="J14"/>
  <c r="K58" i="1"/>
  <c r="I14" i="41"/>
  <c r="J27" i="40"/>
  <c r="I13" i="44"/>
  <c r="L16" i="1"/>
  <c r="O14"/>
  <c r="D12" i="42" l="1"/>
  <c r="D12" i="35" s="1"/>
  <c r="D15" s="1"/>
  <c r="J12" i="44"/>
  <c r="J13"/>
  <c r="K14"/>
  <c r="J14" i="41"/>
  <c r="K27" i="40"/>
  <c r="L58" i="1"/>
  <c r="M16"/>
  <c r="P14"/>
  <c r="F44" l="1"/>
  <c r="F42" s="1"/>
  <c r="D19" i="35"/>
  <c r="F62" i="1" s="1"/>
  <c r="D13" i="41"/>
  <c r="K12" i="44"/>
  <c r="L14"/>
  <c r="M58" i="1"/>
  <c r="K14" i="41"/>
  <c r="L27" i="40"/>
  <c r="K13" i="44"/>
  <c r="N16" i="1"/>
  <c r="Q14"/>
  <c r="F33" l="1"/>
  <c r="D15" i="41"/>
  <c r="E10" s="1"/>
  <c r="L12" i="44"/>
  <c r="L13"/>
  <c r="M14"/>
  <c r="L14" i="41"/>
  <c r="M27" i="40"/>
  <c r="N58" i="1"/>
  <c r="O16"/>
  <c r="R14"/>
  <c r="F10" l="1"/>
  <c r="F57" s="1"/>
  <c r="M12" i="44"/>
  <c r="N14"/>
  <c r="O58" i="1"/>
  <c r="M14" i="41"/>
  <c r="N27" i="40"/>
  <c r="M13" i="44"/>
  <c r="S14" i="1"/>
  <c r="P16"/>
  <c r="F59" l="1"/>
  <c r="N12" i="44"/>
  <c r="N14" i="41"/>
  <c r="O27" i="40"/>
  <c r="P58" i="1"/>
  <c r="O14" i="44"/>
  <c r="N13"/>
  <c r="T14" i="1"/>
  <c r="Q16"/>
  <c r="G54" l="1"/>
  <c r="O12" i="44"/>
  <c r="O13"/>
  <c r="P14"/>
  <c r="Q58" i="1"/>
  <c r="O14" i="41"/>
  <c r="P27" i="40"/>
  <c r="U14" i="1"/>
  <c r="R16"/>
  <c r="P12" i="44" l="1"/>
  <c r="P14" i="41"/>
  <c r="Q27" i="40"/>
  <c r="R58" i="1"/>
  <c r="P13" i="44"/>
  <c r="Q14"/>
  <c r="V14" i="1"/>
  <c r="S16"/>
  <c r="Q12" i="44" l="1"/>
  <c r="R14"/>
  <c r="Q13"/>
  <c r="S58" i="1"/>
  <c r="Q14" i="41"/>
  <c r="R27" i="40"/>
  <c r="T16" i="1"/>
  <c r="W14"/>
  <c r="R12" i="44" l="1"/>
  <c r="R14" i="41"/>
  <c r="S27" i="40"/>
  <c r="T58" i="1"/>
  <c r="R13" i="44"/>
  <c r="S14"/>
  <c r="U16" i="1"/>
  <c r="X14"/>
  <c r="S12" i="44" l="1"/>
  <c r="T14"/>
  <c r="S13"/>
  <c r="U58" i="1"/>
  <c r="S14" i="41"/>
  <c r="T27" i="40"/>
  <c r="V16" i="1"/>
  <c r="Y14"/>
  <c r="Z14" s="1"/>
  <c r="T12" i="44" l="1"/>
  <c r="I10" i="3"/>
  <c r="T13" i="44"/>
  <c r="T14" i="41"/>
  <c r="U27" i="40"/>
  <c r="V58" i="1"/>
  <c r="U14" i="44"/>
  <c r="W16" i="1"/>
  <c r="U12" i="44" l="1"/>
  <c r="W58" i="1"/>
  <c r="U14" i="41"/>
  <c r="V27" i="40"/>
  <c r="V14" i="44"/>
  <c r="U13"/>
  <c r="C11" i="3"/>
  <c r="H10"/>
  <c r="L10" s="1"/>
  <c r="X16" i="1"/>
  <c r="I11" i="3" l="1"/>
  <c r="B11"/>
  <c r="V12" i="44"/>
  <c r="C12" i="3"/>
  <c r="I12" s="1"/>
  <c r="H11"/>
  <c r="L11" s="1"/>
  <c r="V14" i="41"/>
  <c r="W27" i="40"/>
  <c r="X58" i="1"/>
  <c r="V13" i="44"/>
  <c r="W14"/>
  <c r="X14"/>
  <c r="Y16" i="1"/>
  <c r="Z16" s="1"/>
  <c r="B12" i="3" l="1"/>
  <c r="X12" i="44"/>
  <c r="W12"/>
  <c r="X13"/>
  <c r="W13"/>
  <c r="Y58" i="1"/>
  <c r="W14" i="41"/>
  <c r="X27" i="40"/>
  <c r="C13" i="3"/>
  <c r="I13" s="1"/>
  <c r="H12"/>
  <c r="L12" s="1"/>
  <c r="N10"/>
  <c r="M10"/>
  <c r="B13" l="1"/>
  <c r="Z58" i="1"/>
  <c r="X14" i="41"/>
  <c r="Y27" i="40"/>
  <c r="N11" i="3"/>
  <c r="M11"/>
  <c r="C14"/>
  <c r="I14" s="1"/>
  <c r="H13"/>
  <c r="L13" s="1"/>
  <c r="B14" l="1"/>
  <c r="M13"/>
  <c r="C15"/>
  <c r="I15" s="1"/>
  <c r="H14"/>
  <c r="L14" s="1"/>
  <c r="M12"/>
  <c r="N12"/>
  <c r="B15" l="1"/>
  <c r="N14"/>
  <c r="N13"/>
  <c r="C16"/>
  <c r="I16" s="1"/>
  <c r="H15"/>
  <c r="L15" s="1"/>
  <c r="B16" l="1"/>
  <c r="M14"/>
  <c r="C17"/>
  <c r="I17" s="1"/>
  <c r="H16"/>
  <c r="L16" s="1"/>
  <c r="B17" l="1"/>
  <c r="C18"/>
  <c r="I18" s="1"/>
  <c r="H17"/>
  <c r="L17" s="1"/>
  <c r="M15"/>
  <c r="N15"/>
  <c r="B18" l="1"/>
  <c r="C19"/>
  <c r="I19" s="1"/>
  <c r="H18"/>
  <c r="L18" s="1"/>
  <c r="N16"/>
  <c r="M16"/>
  <c r="B19" l="1"/>
  <c r="M17"/>
  <c r="N17"/>
  <c r="C20"/>
  <c r="I20" s="1"/>
  <c r="H19"/>
  <c r="L19" s="1"/>
  <c r="B20" l="1"/>
  <c r="C21"/>
  <c r="I21" s="1"/>
  <c r="H20"/>
  <c r="L20" s="1"/>
  <c r="M18"/>
  <c r="N18"/>
  <c r="B21" l="1"/>
  <c r="M19"/>
  <c r="N19"/>
  <c r="C22"/>
  <c r="I22" s="1"/>
  <c r="H21"/>
  <c r="L21" s="1"/>
  <c r="C23" l="1"/>
  <c r="I23" s="1"/>
  <c r="B22"/>
  <c r="H22"/>
  <c r="L22" s="1"/>
  <c r="M20"/>
  <c r="N20"/>
  <c r="B23" l="1"/>
  <c r="C24"/>
  <c r="I24" s="1"/>
  <c r="H23"/>
  <c r="L23" s="1"/>
  <c r="M21"/>
  <c r="N21"/>
  <c r="C25" l="1"/>
  <c r="I25" s="1"/>
  <c r="B24"/>
  <c r="H24"/>
  <c r="L24" s="1"/>
  <c r="N22"/>
  <c r="M22"/>
  <c r="B25" l="1"/>
  <c r="C26"/>
  <c r="I26" s="1"/>
  <c r="H25"/>
  <c r="L25" s="1"/>
  <c r="N23"/>
  <c r="M23"/>
  <c r="N25" l="1"/>
  <c r="C27"/>
  <c r="I27" s="1"/>
  <c r="B26"/>
  <c r="H26"/>
  <c r="L26" s="1"/>
  <c r="M24"/>
  <c r="N24"/>
  <c r="M25" l="1"/>
  <c r="B27"/>
  <c r="C28"/>
  <c r="I28" s="1"/>
  <c r="H27"/>
  <c r="L27" s="1"/>
  <c r="H28" l="1"/>
  <c r="L28" s="1"/>
  <c r="B28"/>
  <c r="C29"/>
  <c r="I29" s="1"/>
  <c r="M26"/>
  <c r="N26"/>
  <c r="B29" l="1"/>
  <c r="C30"/>
  <c r="I30" s="1"/>
  <c r="H29"/>
  <c r="L29" s="1"/>
  <c r="N27"/>
  <c r="M27"/>
  <c r="N28" l="1"/>
  <c r="M28"/>
  <c r="B30"/>
  <c r="C31"/>
  <c r="I31" s="1"/>
  <c r="H30"/>
  <c r="L30" s="1"/>
  <c r="B31" l="1"/>
  <c r="C32"/>
  <c r="I32" s="1"/>
  <c r="H31"/>
  <c r="L31" s="1"/>
  <c r="N29"/>
  <c r="M29"/>
  <c r="B32" l="1"/>
  <c r="C33"/>
  <c r="I33" s="1"/>
  <c r="H32"/>
  <c r="L32" s="1"/>
  <c r="M30"/>
  <c r="N30"/>
  <c r="B33" l="1"/>
  <c r="C34"/>
  <c r="I34" s="1"/>
  <c r="H33"/>
  <c r="L33" s="1"/>
  <c r="N31"/>
  <c r="M31"/>
  <c r="B34" l="1"/>
  <c r="C35"/>
  <c r="I35" s="1"/>
  <c r="H34"/>
  <c r="L34" s="1"/>
  <c r="N32"/>
  <c r="M32"/>
  <c r="B35" l="1"/>
  <c r="C36"/>
  <c r="I36" s="1"/>
  <c r="H35"/>
  <c r="L35" s="1"/>
  <c r="N33"/>
  <c r="M33"/>
  <c r="B36" l="1"/>
  <c r="C37"/>
  <c r="I37" s="1"/>
  <c r="H36"/>
  <c r="L36" s="1"/>
  <c r="M34"/>
  <c r="N34"/>
  <c r="B37" l="1"/>
  <c r="C38"/>
  <c r="I38" s="1"/>
  <c r="H37"/>
  <c r="L37" s="1"/>
  <c r="M35"/>
  <c r="N35"/>
  <c r="B38" l="1"/>
  <c r="C39"/>
  <c r="I39" s="1"/>
  <c r="H38"/>
  <c r="L38" s="1"/>
  <c r="N36"/>
  <c r="M36"/>
  <c r="N37" l="1"/>
  <c r="M37"/>
  <c r="B39"/>
  <c r="C40"/>
  <c r="I40" s="1"/>
  <c r="H39"/>
  <c r="L39" s="1"/>
  <c r="M38" l="1"/>
  <c r="N38"/>
  <c r="C41"/>
  <c r="I41" s="1"/>
  <c r="B40"/>
  <c r="H40"/>
  <c r="L40" s="1"/>
  <c r="B41" l="1"/>
  <c r="C42"/>
  <c r="I42" s="1"/>
  <c r="H41"/>
  <c r="L41" s="1"/>
  <c r="M39"/>
  <c r="N39"/>
  <c r="M40" l="1"/>
  <c r="N40"/>
  <c r="B42"/>
  <c r="C43"/>
  <c r="I43" s="1"/>
  <c r="H42"/>
  <c r="L42" s="1"/>
  <c r="M41" l="1"/>
  <c r="N41"/>
  <c r="B43"/>
  <c r="C44"/>
  <c r="I44" s="1"/>
  <c r="H43"/>
  <c r="L43" s="1"/>
  <c r="B44" l="1"/>
  <c r="C45"/>
  <c r="I45" s="1"/>
  <c r="H44"/>
  <c r="L44" s="1"/>
  <c r="M42"/>
  <c r="N42"/>
  <c r="N43" l="1"/>
  <c r="M43"/>
  <c r="B45"/>
  <c r="C46"/>
  <c r="I46" s="1"/>
  <c r="H45"/>
  <c r="L45" s="1"/>
  <c r="M44" l="1"/>
  <c r="N44"/>
  <c r="B46"/>
  <c r="C47"/>
  <c r="I47" s="1"/>
  <c r="H46"/>
  <c r="L46" s="1"/>
  <c r="B47" l="1"/>
  <c r="C48"/>
  <c r="I48" s="1"/>
  <c r="H47"/>
  <c r="L47" s="1"/>
  <c r="M45"/>
  <c r="N45"/>
  <c r="B48" l="1"/>
  <c r="C49"/>
  <c r="I49" s="1"/>
  <c r="H48"/>
  <c r="L48" s="1"/>
  <c r="M46"/>
  <c r="N46"/>
  <c r="M47" l="1"/>
  <c r="N47"/>
  <c r="B49"/>
  <c r="C50"/>
  <c r="I50" s="1"/>
  <c r="H49"/>
  <c r="L49" s="1"/>
  <c r="M48" l="1"/>
  <c r="N48"/>
  <c r="B50"/>
  <c r="C51"/>
  <c r="I51" s="1"/>
  <c r="H50"/>
  <c r="L50" s="1"/>
  <c r="N50" l="1"/>
  <c r="B51"/>
  <c r="C52"/>
  <c r="I52" s="1"/>
  <c r="H51"/>
  <c r="L51" s="1"/>
  <c r="N49"/>
  <c r="M49"/>
  <c r="M50" l="1"/>
  <c r="B52"/>
  <c r="C53"/>
  <c r="I53" s="1"/>
  <c r="H52"/>
  <c r="L52" s="1"/>
  <c r="B53" l="1"/>
  <c r="C54"/>
  <c r="I54" s="1"/>
  <c r="H53"/>
  <c r="L53" s="1"/>
  <c r="M51"/>
  <c r="N51"/>
  <c r="B54" l="1"/>
  <c r="C55"/>
  <c r="I55" s="1"/>
  <c r="H54"/>
  <c r="L54" s="1"/>
  <c r="M52"/>
  <c r="N52"/>
  <c r="B55" l="1"/>
  <c r="C56"/>
  <c r="I56" s="1"/>
  <c r="H55"/>
  <c r="L55" s="1"/>
  <c r="M53"/>
  <c r="N53"/>
  <c r="B56" l="1"/>
  <c r="C57"/>
  <c r="I57" s="1"/>
  <c r="H56"/>
  <c r="L56" s="1"/>
  <c r="M54"/>
  <c r="N54"/>
  <c r="B57" l="1"/>
  <c r="C58"/>
  <c r="I58" s="1"/>
  <c r="H57"/>
  <c r="L57" s="1"/>
  <c r="M55"/>
  <c r="N55"/>
  <c r="B58" l="1"/>
  <c r="C59"/>
  <c r="I59" s="1"/>
  <c r="H58"/>
  <c r="L58" s="1"/>
  <c r="N56"/>
  <c r="M56"/>
  <c r="B59" l="1"/>
  <c r="C60"/>
  <c r="I60" s="1"/>
  <c r="H59"/>
  <c r="L59" s="1"/>
  <c r="N57"/>
  <c r="M57"/>
  <c r="B60" l="1"/>
  <c r="C61"/>
  <c r="I61" s="1"/>
  <c r="H60"/>
  <c r="L60" s="1"/>
  <c r="M58"/>
  <c r="N58"/>
  <c r="B61" l="1"/>
  <c r="C62"/>
  <c r="I62" s="1"/>
  <c r="H61"/>
  <c r="L61" s="1"/>
  <c r="N59"/>
  <c r="M59"/>
  <c r="B62" l="1"/>
  <c r="C63"/>
  <c r="I63" s="1"/>
  <c r="H62"/>
  <c r="L62" s="1"/>
  <c r="M60"/>
  <c r="N60"/>
  <c r="N61" l="1"/>
  <c r="M61"/>
  <c r="B63"/>
  <c r="C64"/>
  <c r="I64" s="1"/>
  <c r="H63"/>
  <c r="L63" s="1"/>
  <c r="M62" l="1"/>
  <c r="N62"/>
  <c r="B64"/>
  <c r="H64"/>
  <c r="L64" s="1"/>
  <c r="C65"/>
  <c r="I65" s="1"/>
  <c r="B65" l="1"/>
  <c r="C66"/>
  <c r="I66" s="1"/>
  <c r="H65"/>
  <c r="L65" s="1"/>
  <c r="N63"/>
  <c r="M63"/>
  <c r="M64" l="1"/>
  <c r="N64"/>
  <c r="B66"/>
  <c r="H66"/>
  <c r="L66" s="1"/>
  <c r="C67"/>
  <c r="I67" s="1"/>
  <c r="N65" l="1"/>
  <c r="M65"/>
  <c r="B67"/>
  <c r="C68"/>
  <c r="I68" s="1"/>
  <c r="H67"/>
  <c r="L67" s="1"/>
  <c r="B68" l="1"/>
  <c r="H68"/>
  <c r="L68" s="1"/>
  <c r="C69"/>
  <c r="I69" s="1"/>
  <c r="M66"/>
  <c r="N66"/>
  <c r="B69" l="1"/>
  <c r="C70"/>
  <c r="I70" s="1"/>
  <c r="H69"/>
  <c r="L69" s="1"/>
  <c r="N67"/>
  <c r="M67"/>
  <c r="B70" l="1"/>
  <c r="C71"/>
  <c r="I71" s="1"/>
  <c r="H70"/>
  <c r="L70" s="1"/>
  <c r="M68"/>
  <c r="N68"/>
  <c r="B71" l="1"/>
  <c r="C72"/>
  <c r="I72" s="1"/>
  <c r="H71"/>
  <c r="L71" s="1"/>
  <c r="M69"/>
  <c r="N69"/>
  <c r="N71" l="1"/>
  <c r="B72"/>
  <c r="C73"/>
  <c r="I73" s="1"/>
  <c r="H72"/>
  <c r="L72" s="1"/>
  <c r="M70"/>
  <c r="N70"/>
  <c r="M71" l="1"/>
  <c r="B73"/>
  <c r="C74"/>
  <c r="I74" s="1"/>
  <c r="H73"/>
  <c r="L73" s="1"/>
  <c r="M73" l="1"/>
  <c r="M72"/>
  <c r="N72"/>
  <c r="B74"/>
  <c r="C75"/>
  <c r="I75" s="1"/>
  <c r="H74"/>
  <c r="L74" s="1"/>
  <c r="N73" l="1"/>
  <c r="B75"/>
  <c r="C76"/>
  <c r="I76" s="1"/>
  <c r="H75"/>
  <c r="L75" s="1"/>
  <c r="B76" l="1"/>
  <c r="H76"/>
  <c r="L76" s="1"/>
  <c r="C77"/>
  <c r="I77" s="1"/>
  <c r="M74"/>
  <c r="N74"/>
  <c r="B77" l="1"/>
  <c r="H77"/>
  <c r="L77" s="1"/>
  <c r="C78"/>
  <c r="I78" s="1"/>
  <c r="N75"/>
  <c r="M75"/>
  <c r="B78" l="1"/>
  <c r="H78"/>
  <c r="L78" s="1"/>
  <c r="C79"/>
  <c r="I79" s="1"/>
  <c r="M76"/>
  <c r="N76"/>
  <c r="B79" l="1"/>
  <c r="C80"/>
  <c r="I80" s="1"/>
  <c r="H79"/>
  <c r="L79" s="1"/>
  <c r="N77"/>
  <c r="M77"/>
  <c r="B80" l="1"/>
  <c r="C81"/>
  <c r="I81" s="1"/>
  <c r="H80"/>
  <c r="L80" s="1"/>
  <c r="N78"/>
  <c r="M78"/>
  <c r="B81" l="1"/>
  <c r="C82"/>
  <c r="I82" s="1"/>
  <c r="H81"/>
  <c r="L81" s="1"/>
  <c r="N79"/>
  <c r="M79"/>
  <c r="B82" l="1"/>
  <c r="C83"/>
  <c r="I83" s="1"/>
  <c r="H82"/>
  <c r="L82" s="1"/>
  <c r="N80"/>
  <c r="M80"/>
  <c r="N81" l="1"/>
  <c r="M81"/>
  <c r="B83"/>
  <c r="H83"/>
  <c r="L83" s="1"/>
  <c r="C84"/>
  <c r="I84" s="1"/>
  <c r="N82" l="1"/>
  <c r="M82"/>
  <c r="B84"/>
  <c r="C85"/>
  <c r="I85" s="1"/>
  <c r="H84"/>
  <c r="L84" s="1"/>
  <c r="B85" l="1"/>
  <c r="C86"/>
  <c r="I86" s="1"/>
  <c r="H85"/>
  <c r="L85" s="1"/>
  <c r="M83"/>
  <c r="N83"/>
  <c r="M84" l="1"/>
  <c r="N84"/>
  <c r="B86"/>
  <c r="C87"/>
  <c r="I87" s="1"/>
  <c r="H86"/>
  <c r="L86" s="1"/>
  <c r="N85" l="1"/>
  <c r="M85"/>
  <c r="B87"/>
  <c r="C88"/>
  <c r="I88" s="1"/>
  <c r="H87"/>
  <c r="L87" s="1"/>
  <c r="B88" l="1"/>
  <c r="C89"/>
  <c r="I89" s="1"/>
  <c r="H88"/>
  <c r="L88" s="1"/>
  <c r="M86"/>
  <c r="N86"/>
  <c r="M87" l="1"/>
  <c r="N87"/>
  <c r="B89"/>
  <c r="C90"/>
  <c r="I90" s="1"/>
  <c r="H89"/>
  <c r="L89" s="1"/>
  <c r="M88" l="1"/>
  <c r="N88"/>
  <c r="B90"/>
  <c r="C91"/>
  <c r="I91" s="1"/>
  <c r="H90"/>
  <c r="L90" s="1"/>
  <c r="B91" l="1"/>
  <c r="C92"/>
  <c r="I92" s="1"/>
  <c r="H91"/>
  <c r="L91" s="1"/>
  <c r="M89"/>
  <c r="N89"/>
  <c r="B92" l="1"/>
  <c r="C93"/>
  <c r="I93" s="1"/>
  <c r="H92"/>
  <c r="L92" s="1"/>
  <c r="N90"/>
  <c r="M90"/>
  <c r="B93"/>
  <c r="C94" l="1"/>
  <c r="I94" s="1"/>
  <c r="H93"/>
  <c r="L93" s="1"/>
  <c r="M91"/>
  <c r="N91"/>
  <c r="B94"/>
  <c r="C95" l="1"/>
  <c r="I95" s="1"/>
  <c r="H94"/>
  <c r="L94" s="1"/>
  <c r="M92"/>
  <c r="N92"/>
  <c r="C96" l="1"/>
  <c r="I96" s="1"/>
  <c r="H95"/>
  <c r="L95" s="1"/>
  <c r="N93"/>
  <c r="M93"/>
  <c r="B95"/>
  <c r="B96" s="1"/>
  <c r="C97" l="1"/>
  <c r="I97" s="1"/>
  <c r="H96"/>
  <c r="L96" s="1"/>
  <c r="M94"/>
  <c r="N94"/>
  <c r="B97"/>
  <c r="M95" l="1"/>
  <c r="N95"/>
  <c r="C98"/>
  <c r="I98" s="1"/>
  <c r="H97"/>
  <c r="L97" s="1"/>
  <c r="N96" l="1"/>
  <c r="M96"/>
  <c r="C99"/>
  <c r="I99" s="1"/>
  <c r="H98"/>
  <c r="L98" s="1"/>
  <c r="B98"/>
  <c r="N97" l="1"/>
  <c r="M97"/>
  <c r="C100"/>
  <c r="I100" s="1"/>
  <c r="H99"/>
  <c r="L99" s="1"/>
  <c r="B99"/>
  <c r="M98" l="1"/>
  <c r="N98"/>
  <c r="H100"/>
  <c r="L100" s="1"/>
  <c r="C101"/>
  <c r="I101" s="1"/>
  <c r="B100"/>
  <c r="B101" s="1"/>
  <c r="M99" l="1"/>
  <c r="N99"/>
  <c r="C102"/>
  <c r="I102" s="1"/>
  <c r="H101"/>
  <c r="L101" s="1"/>
  <c r="C103" l="1"/>
  <c r="I103" s="1"/>
  <c r="H102"/>
  <c r="L102" s="1"/>
  <c r="N100"/>
  <c r="M100"/>
  <c r="B102"/>
  <c r="C104" l="1"/>
  <c r="I104" s="1"/>
  <c r="H103"/>
  <c r="L103" s="1"/>
  <c r="M101"/>
  <c r="N101"/>
  <c r="B103"/>
  <c r="C105" l="1"/>
  <c r="I105" s="1"/>
  <c r="H104"/>
  <c r="L104" s="1"/>
  <c r="N102"/>
  <c r="M102"/>
  <c r="B104"/>
  <c r="C106" l="1"/>
  <c r="I106" s="1"/>
  <c r="H105"/>
  <c r="L105" s="1"/>
  <c r="M103"/>
  <c r="N103"/>
  <c r="B105"/>
  <c r="B106" s="1"/>
  <c r="C107" l="1"/>
  <c r="I107" s="1"/>
  <c r="H106"/>
  <c r="L106" s="1"/>
  <c r="N104"/>
  <c r="M104"/>
  <c r="B107"/>
  <c r="C108" l="1"/>
  <c r="I108" s="1"/>
  <c r="H107"/>
  <c r="L107" s="1"/>
  <c r="M105"/>
  <c r="N105"/>
  <c r="B108"/>
  <c r="N106" l="1"/>
  <c r="M106"/>
  <c r="C109"/>
  <c r="I109" s="1"/>
  <c r="H108"/>
  <c r="L108" s="1"/>
  <c r="B109"/>
  <c r="N107" l="1"/>
  <c r="M107"/>
  <c r="C110"/>
  <c r="I110" s="1"/>
  <c r="H109"/>
  <c r="L109" s="1"/>
  <c r="B110"/>
  <c r="M109" l="1"/>
  <c r="M108"/>
  <c r="N108"/>
  <c r="C111"/>
  <c r="I111" s="1"/>
  <c r="H110"/>
  <c r="L110" s="1"/>
  <c r="B111"/>
  <c r="N109" l="1"/>
  <c r="C112"/>
  <c r="I112" s="1"/>
  <c r="H111"/>
  <c r="L111" s="1"/>
  <c r="C113" l="1"/>
  <c r="I113" s="1"/>
  <c r="H112"/>
  <c r="L112" s="1"/>
  <c r="M110"/>
  <c r="N110"/>
  <c r="B112"/>
  <c r="C114" l="1"/>
  <c r="I114" s="1"/>
  <c r="H113"/>
  <c r="L113" s="1"/>
  <c r="N111"/>
  <c r="M111"/>
  <c r="B113"/>
  <c r="C115" l="1"/>
  <c r="I115" s="1"/>
  <c r="H114"/>
  <c r="L114" s="1"/>
  <c r="M112"/>
  <c r="N112"/>
  <c r="B114"/>
  <c r="C116" l="1"/>
  <c r="I116" s="1"/>
  <c r="H115"/>
  <c r="L115" s="1"/>
  <c r="N113"/>
  <c r="M113"/>
  <c r="B115"/>
  <c r="B116" s="1"/>
  <c r="M114" l="1"/>
  <c r="N114"/>
  <c r="C117"/>
  <c r="I117" s="1"/>
  <c r="H116"/>
  <c r="L116" s="1"/>
  <c r="C118" l="1"/>
  <c r="I118" s="1"/>
  <c r="H117"/>
  <c r="L117" s="1"/>
  <c r="N115"/>
  <c r="M115"/>
  <c r="B117"/>
  <c r="C119" l="1"/>
  <c r="I119" s="1"/>
  <c r="H118"/>
  <c r="L118" s="1"/>
  <c r="N116"/>
  <c r="M116"/>
  <c r="B118"/>
  <c r="B119" s="1"/>
  <c r="N117" l="1"/>
  <c r="M117"/>
  <c r="C120"/>
  <c r="I120" s="1"/>
  <c r="H119"/>
  <c r="L119" s="1"/>
  <c r="C121" l="1"/>
  <c r="I121" s="1"/>
  <c r="H120"/>
  <c r="L120" s="1"/>
  <c r="M118"/>
  <c r="N118"/>
  <c r="B120"/>
  <c r="C122" l="1"/>
  <c r="I122" s="1"/>
  <c r="H121"/>
  <c r="L121" s="1"/>
  <c r="M119"/>
  <c r="N119"/>
  <c r="B121"/>
  <c r="C123" l="1"/>
  <c r="I123" s="1"/>
  <c r="H122"/>
  <c r="L122" s="1"/>
  <c r="M120"/>
  <c r="N120"/>
  <c r="B122"/>
  <c r="M122" l="1"/>
  <c r="C124"/>
  <c r="I124" s="1"/>
  <c r="H123"/>
  <c r="L123" s="1"/>
  <c r="N121"/>
  <c r="M121"/>
  <c r="B123"/>
  <c r="B124" s="1"/>
  <c r="N122" l="1"/>
  <c r="H124"/>
  <c r="L124" s="1"/>
  <c r="C125"/>
  <c r="I125" s="1"/>
  <c r="B125"/>
  <c r="H125" l="1"/>
  <c r="L125" s="1"/>
  <c r="C126"/>
  <c r="I126" s="1"/>
  <c r="N123"/>
  <c r="M123"/>
  <c r="B126" l="1"/>
  <c r="M124"/>
  <c r="N124"/>
  <c r="H126"/>
  <c r="L126" s="1"/>
  <c r="C127"/>
  <c r="I127" s="1"/>
  <c r="B127"/>
  <c r="C128" l="1"/>
  <c r="I128" s="1"/>
  <c r="H127"/>
  <c r="L127" s="1"/>
  <c r="N125"/>
  <c r="M125"/>
  <c r="C129" l="1"/>
  <c r="I129" s="1"/>
  <c r="H128"/>
  <c r="L128" s="1"/>
  <c r="M126"/>
  <c r="N126"/>
  <c r="B128"/>
  <c r="B129" s="1"/>
  <c r="C130" l="1"/>
  <c r="I130" s="1"/>
  <c r="H129"/>
  <c r="L129" s="1"/>
  <c r="N127"/>
  <c r="M127"/>
  <c r="B130"/>
  <c r="M128" l="1"/>
  <c r="N128"/>
  <c r="C131"/>
  <c r="I131" s="1"/>
  <c r="H130"/>
  <c r="L130" s="1"/>
  <c r="H131" l="1"/>
  <c r="L131" s="1"/>
  <c r="C132"/>
  <c r="I132" s="1"/>
  <c r="N129"/>
  <c r="M129"/>
  <c r="B131"/>
  <c r="B132" s="1"/>
  <c r="N131" l="1"/>
  <c r="N130"/>
  <c r="M130"/>
  <c r="C133"/>
  <c r="I133" s="1"/>
  <c r="H132"/>
  <c r="L132" s="1"/>
  <c r="M131" l="1"/>
  <c r="C134"/>
  <c r="I134" s="1"/>
  <c r="H133"/>
  <c r="L133" s="1"/>
  <c r="B133"/>
  <c r="B134" s="1"/>
  <c r="N133" l="1"/>
  <c r="C135"/>
  <c r="I135" s="1"/>
  <c r="H134"/>
  <c r="L134" s="1"/>
  <c r="N132"/>
  <c r="M132"/>
  <c r="B135"/>
  <c r="M133" l="1"/>
  <c r="C136"/>
  <c r="I136" s="1"/>
  <c r="H135"/>
  <c r="L135" s="1"/>
  <c r="B136" l="1"/>
  <c r="B137" s="1"/>
  <c r="C137"/>
  <c r="I137" s="1"/>
  <c r="H136"/>
  <c r="L136" s="1"/>
  <c r="N134"/>
  <c r="M134"/>
  <c r="C138" l="1"/>
  <c r="I138" s="1"/>
  <c r="H137"/>
  <c r="L137" s="1"/>
  <c r="M135"/>
  <c r="N135"/>
  <c r="B138"/>
  <c r="C139" l="1"/>
  <c r="I139" s="1"/>
  <c r="H138"/>
  <c r="L138" s="1"/>
  <c r="M136"/>
  <c r="N136"/>
  <c r="B139"/>
  <c r="C140" l="1"/>
  <c r="I140" s="1"/>
  <c r="H139"/>
  <c r="L139" s="1"/>
  <c r="N137"/>
  <c r="M137"/>
  <c r="B140"/>
  <c r="M138" l="1"/>
  <c r="N138"/>
  <c r="C141"/>
  <c r="I141" s="1"/>
  <c r="H140"/>
  <c r="L140" s="1"/>
  <c r="C142" l="1"/>
  <c r="I142" s="1"/>
  <c r="H141"/>
  <c r="L141" s="1"/>
  <c r="M139"/>
  <c r="N139"/>
  <c r="B141"/>
  <c r="B142" s="1"/>
  <c r="M140" l="1"/>
  <c r="N140"/>
  <c r="C143"/>
  <c r="I143" s="1"/>
  <c r="H142"/>
  <c r="L142" s="1"/>
  <c r="C144" l="1"/>
  <c r="I144" s="1"/>
  <c r="H143"/>
  <c r="L143" s="1"/>
  <c r="M141"/>
  <c r="N141"/>
  <c r="B143"/>
  <c r="B144" s="1"/>
  <c r="C145" l="1"/>
  <c r="I145" s="1"/>
  <c r="H144"/>
  <c r="L144" s="1"/>
  <c r="N142"/>
  <c r="M142"/>
  <c r="B145"/>
  <c r="N144" l="1"/>
  <c r="C146"/>
  <c r="I146" s="1"/>
  <c r="H145"/>
  <c r="L145" s="1"/>
  <c r="M143"/>
  <c r="N143"/>
  <c r="B146"/>
  <c r="M144" l="1"/>
  <c r="C147"/>
  <c r="I147" s="1"/>
  <c r="H146"/>
  <c r="L146" s="1"/>
  <c r="B147"/>
  <c r="N146" l="1"/>
  <c r="M145"/>
  <c r="N145"/>
  <c r="C148"/>
  <c r="I148" s="1"/>
  <c r="H147"/>
  <c r="L147" s="1"/>
  <c r="B148"/>
  <c r="M146" l="1"/>
  <c r="H148"/>
  <c r="L148" s="1"/>
  <c r="C149"/>
  <c r="I149" s="1"/>
  <c r="B149"/>
  <c r="H149" l="1"/>
  <c r="L149" s="1"/>
  <c r="C150"/>
  <c r="I150" s="1"/>
  <c r="B150"/>
  <c r="N147"/>
  <c r="M147"/>
  <c r="M148" l="1"/>
  <c r="N148"/>
  <c r="H150"/>
  <c r="L150" s="1"/>
  <c r="C151"/>
  <c r="I151" s="1"/>
  <c r="B151"/>
  <c r="H151" l="1"/>
  <c r="L151" s="1"/>
  <c r="C152"/>
  <c r="I152" s="1"/>
  <c r="N149"/>
  <c r="M149"/>
  <c r="B152"/>
  <c r="H152" l="1"/>
  <c r="L152" s="1"/>
  <c r="C153"/>
  <c r="I153" s="1"/>
  <c r="M150"/>
  <c r="N150"/>
  <c r="B153"/>
  <c r="M151" l="1"/>
  <c r="N151"/>
  <c r="C154"/>
  <c r="I154" s="1"/>
  <c r="H153"/>
  <c r="L153" s="1"/>
  <c r="B154"/>
  <c r="H154" l="1"/>
  <c r="L154" s="1"/>
  <c r="C155"/>
  <c r="I155" s="1"/>
  <c r="N152"/>
  <c r="M152"/>
  <c r="H155" l="1"/>
  <c r="L155" s="1"/>
  <c r="C156"/>
  <c r="I156" s="1"/>
  <c r="M153"/>
  <c r="N153"/>
  <c r="B155"/>
  <c r="B156" s="1"/>
  <c r="M154" l="1"/>
  <c r="N154"/>
  <c r="C157"/>
  <c r="I157" s="1"/>
  <c r="H156"/>
  <c r="L156" s="1"/>
  <c r="B157"/>
  <c r="N155"/>
  <c r="M155"/>
  <c r="C158" l="1"/>
  <c r="I158" s="1"/>
  <c r="H157"/>
  <c r="L157" s="1"/>
  <c r="B158"/>
  <c r="N156" l="1"/>
  <c r="M156"/>
  <c r="C159"/>
  <c r="I159" s="1"/>
  <c r="H158"/>
  <c r="L158" s="1"/>
  <c r="B159"/>
  <c r="M157" l="1"/>
  <c r="N157"/>
  <c r="C160"/>
  <c r="I160" s="1"/>
  <c r="H159"/>
  <c r="L159" s="1"/>
  <c r="B160"/>
  <c r="N158" l="1"/>
  <c r="M158"/>
  <c r="C161"/>
  <c r="I161" s="1"/>
  <c r="H160"/>
  <c r="L160" s="1"/>
  <c r="B161"/>
  <c r="C162" l="1"/>
  <c r="I162" s="1"/>
  <c r="H161"/>
  <c r="L161" s="1"/>
  <c r="B162"/>
  <c r="M159"/>
  <c r="N159"/>
  <c r="C163" l="1"/>
  <c r="I163" s="1"/>
  <c r="H162"/>
  <c r="L162" s="1"/>
  <c r="N160"/>
  <c r="M160"/>
  <c r="B163"/>
  <c r="C164" l="1"/>
  <c r="I164" s="1"/>
  <c r="H163"/>
  <c r="L163" s="1"/>
  <c r="M161"/>
  <c r="N161"/>
  <c r="B164"/>
  <c r="C165" l="1"/>
  <c r="I165" s="1"/>
  <c r="H164"/>
  <c r="L164" s="1"/>
  <c r="N162"/>
  <c r="M162"/>
  <c r="B165"/>
  <c r="C166" l="1"/>
  <c r="I166" s="1"/>
  <c r="H165"/>
  <c r="L165" s="1"/>
  <c r="M163"/>
  <c r="N163"/>
  <c r="B166"/>
  <c r="C167" l="1"/>
  <c r="I167" s="1"/>
  <c r="H166"/>
  <c r="L166" s="1"/>
  <c r="M164"/>
  <c r="N164"/>
  <c r="B167"/>
  <c r="N165" l="1"/>
  <c r="M165"/>
  <c r="C168"/>
  <c r="H167"/>
  <c r="L167" s="1"/>
  <c r="B168" l="1"/>
  <c r="I168"/>
  <c r="C169"/>
  <c r="H168"/>
  <c r="N166"/>
  <c r="M166"/>
  <c r="B169" l="1"/>
  <c r="I169"/>
  <c r="L168"/>
  <c r="C170"/>
  <c r="I170" s="1"/>
  <c r="H169"/>
  <c r="M167"/>
  <c r="N167"/>
  <c r="L169" l="1"/>
  <c r="C171"/>
  <c r="I171" s="1"/>
  <c r="H170"/>
  <c r="L170" s="1"/>
  <c r="N168"/>
  <c r="M168"/>
  <c r="B170"/>
  <c r="B171" s="1"/>
  <c r="N169" l="1"/>
  <c r="M169"/>
  <c r="C172"/>
  <c r="I172" s="1"/>
  <c r="H171"/>
  <c r="L171" s="1"/>
  <c r="B172"/>
  <c r="H172" l="1"/>
  <c r="L172" s="1"/>
  <c r="C173"/>
  <c r="I173" s="1"/>
  <c r="N170"/>
  <c r="M170"/>
  <c r="B173"/>
  <c r="M171" l="1"/>
  <c r="N171"/>
  <c r="H173"/>
  <c r="L173" s="1"/>
  <c r="C174"/>
  <c r="I174" s="1"/>
  <c r="B174"/>
  <c r="N172" l="1"/>
  <c r="M172"/>
  <c r="H174"/>
  <c r="L174" s="1"/>
  <c r="C175"/>
  <c r="I175" s="1"/>
  <c r="B175"/>
  <c r="C176" l="1"/>
  <c r="I176" s="1"/>
  <c r="H175"/>
  <c r="L175" s="1"/>
  <c r="N173"/>
  <c r="M173"/>
  <c r="B176"/>
  <c r="C177" l="1"/>
  <c r="I177" s="1"/>
  <c r="H176"/>
  <c r="L176" s="1"/>
  <c r="M174"/>
  <c r="N174"/>
  <c r="B177"/>
  <c r="N175" l="1"/>
  <c r="M175"/>
  <c r="C178"/>
  <c r="I178" s="1"/>
  <c r="H177"/>
  <c r="L177" s="1"/>
  <c r="C179" l="1"/>
  <c r="I179" s="1"/>
  <c r="H178"/>
  <c r="L178" s="1"/>
  <c r="B178"/>
  <c r="B179" s="1"/>
  <c r="N176"/>
  <c r="M176"/>
  <c r="H179" l="1"/>
  <c r="L179" s="1"/>
  <c r="C180"/>
  <c r="I180" s="1"/>
  <c r="M177"/>
  <c r="N177"/>
  <c r="C181" l="1"/>
  <c r="I181" s="1"/>
  <c r="H180"/>
  <c r="L180" s="1"/>
  <c r="N178"/>
  <c r="M178"/>
  <c r="B180"/>
  <c r="B181" s="1"/>
  <c r="N180" l="1"/>
  <c r="C182"/>
  <c r="I182" s="1"/>
  <c r="H181"/>
  <c r="L181" s="1"/>
  <c r="N179"/>
  <c r="M179"/>
  <c r="B182"/>
  <c r="M180" l="1"/>
  <c r="N181"/>
  <c r="C183"/>
  <c r="I183" s="1"/>
  <c r="H182"/>
  <c r="L182" s="1"/>
  <c r="B183"/>
  <c r="M181" l="1"/>
  <c r="C184"/>
  <c r="I184" s="1"/>
  <c r="H183"/>
  <c r="L183" s="1"/>
  <c r="B184"/>
  <c r="C185" l="1"/>
  <c r="I185" s="1"/>
  <c r="H184"/>
  <c r="L184" s="1"/>
  <c r="N182"/>
  <c r="M182"/>
  <c r="B185"/>
  <c r="C186" l="1"/>
  <c r="I186" s="1"/>
  <c r="H185"/>
  <c r="L185" s="1"/>
  <c r="B186"/>
  <c r="N183"/>
  <c r="M183"/>
  <c r="C187" l="1"/>
  <c r="I187" s="1"/>
  <c r="H186"/>
  <c r="L186" s="1"/>
  <c r="M184"/>
  <c r="N184"/>
  <c r="B187"/>
  <c r="C188" l="1"/>
  <c r="I188" s="1"/>
  <c r="H187"/>
  <c r="L187" s="1"/>
  <c r="M185"/>
  <c r="N185"/>
  <c r="B188"/>
  <c r="H188" l="1"/>
  <c r="L188" s="1"/>
  <c r="C189"/>
  <c r="I189" s="1"/>
  <c r="M186"/>
  <c r="N186"/>
  <c r="B189"/>
  <c r="H189" l="1"/>
  <c r="L189" s="1"/>
  <c r="C190"/>
  <c r="I190" s="1"/>
  <c r="N187"/>
  <c r="M187"/>
  <c r="B190"/>
  <c r="C191" l="1"/>
  <c r="I191" s="1"/>
  <c r="H190"/>
  <c r="L190" s="1"/>
  <c r="N188"/>
  <c r="M188"/>
  <c r="B191"/>
  <c r="C192" l="1"/>
  <c r="I192" s="1"/>
  <c r="H191"/>
  <c r="L191" s="1"/>
  <c r="N189"/>
  <c r="M189"/>
  <c r="B192"/>
  <c r="N191" l="1"/>
  <c r="C193"/>
  <c r="I193" s="1"/>
  <c r="H192"/>
  <c r="L192" s="1"/>
  <c r="N190"/>
  <c r="M190"/>
  <c r="B193"/>
  <c r="M191" l="1"/>
  <c r="C194"/>
  <c r="I194" s="1"/>
  <c r="H193"/>
  <c r="L193" s="1"/>
  <c r="N193" l="1"/>
  <c r="C195"/>
  <c r="I195" s="1"/>
  <c r="H194"/>
  <c r="L194" s="1"/>
  <c r="M192"/>
  <c r="N192"/>
  <c r="B194"/>
  <c r="B195" s="1"/>
  <c r="M193" l="1"/>
  <c r="C196"/>
  <c r="I196" s="1"/>
  <c r="H195"/>
  <c r="L195" s="1"/>
  <c r="B196"/>
  <c r="N194" l="1"/>
  <c r="M194"/>
  <c r="C197"/>
  <c r="I197" s="1"/>
  <c r="H196"/>
  <c r="L196" s="1"/>
  <c r="B197" l="1"/>
  <c r="C198"/>
  <c r="H197"/>
  <c r="L197" s="1"/>
  <c r="M195"/>
  <c r="N195"/>
  <c r="B198" l="1"/>
  <c r="I198"/>
  <c r="M196"/>
  <c r="N196"/>
  <c r="C199"/>
  <c r="H198"/>
  <c r="B199" l="1"/>
  <c r="I199"/>
  <c r="L198"/>
  <c r="N197"/>
  <c r="M197"/>
  <c r="C200"/>
  <c r="H199"/>
  <c r="B200" l="1"/>
  <c r="I200"/>
  <c r="L199"/>
  <c r="N198"/>
  <c r="M198"/>
  <c r="C201"/>
  <c r="H200"/>
  <c r="B201" l="1"/>
  <c r="I201"/>
  <c r="L200"/>
  <c r="N199"/>
  <c r="M199"/>
  <c r="C202"/>
  <c r="H201"/>
  <c r="B202" l="1"/>
  <c r="I202"/>
  <c r="L201"/>
  <c r="M200"/>
  <c r="N200"/>
  <c r="C203"/>
  <c r="H202"/>
  <c r="B203" l="1"/>
  <c r="I203"/>
  <c r="L202"/>
  <c r="C204"/>
  <c r="I204" s="1"/>
  <c r="H203"/>
  <c r="N201"/>
  <c r="M201"/>
  <c r="L203" l="1"/>
  <c r="N202"/>
  <c r="M202"/>
  <c r="C205"/>
  <c r="I205" s="1"/>
  <c r="H204"/>
  <c r="L204" s="1"/>
  <c r="B204"/>
  <c r="B205" l="1"/>
  <c r="C206"/>
  <c r="I206" s="1"/>
  <c r="H205"/>
  <c r="L205" s="1"/>
  <c r="N203"/>
  <c r="M203"/>
  <c r="C207" l="1"/>
  <c r="I207" s="1"/>
  <c r="H206"/>
  <c r="L206" s="1"/>
  <c r="N204"/>
  <c r="M204"/>
  <c r="B206"/>
  <c r="B207" s="1"/>
  <c r="C208" l="1"/>
  <c r="I208" s="1"/>
  <c r="H207"/>
  <c r="L207" s="1"/>
  <c r="B208"/>
  <c r="M205"/>
  <c r="N205"/>
  <c r="N206" l="1"/>
  <c r="M206"/>
  <c r="H208"/>
  <c r="L208" s="1"/>
  <c r="C209"/>
  <c r="I209" s="1"/>
  <c r="B209" l="1"/>
  <c r="M207"/>
  <c r="N207"/>
  <c r="H209"/>
  <c r="L209" s="1"/>
  <c r="C210"/>
  <c r="I210" s="1"/>
  <c r="B210"/>
  <c r="C211" l="1"/>
  <c r="I211" s="1"/>
  <c r="H210"/>
  <c r="L210" s="1"/>
  <c r="N208"/>
  <c r="M208"/>
  <c r="B211"/>
  <c r="H211" l="1"/>
  <c r="L211" s="1"/>
  <c r="C212"/>
  <c r="I212" s="1"/>
  <c r="B212"/>
  <c r="M209"/>
  <c r="N209"/>
  <c r="N210" l="1"/>
  <c r="M210"/>
  <c r="H212"/>
  <c r="L212" s="1"/>
  <c r="C213"/>
  <c r="I213" s="1"/>
  <c r="B213"/>
  <c r="H213" l="1"/>
  <c r="L213" s="1"/>
  <c r="C214"/>
  <c r="I214" s="1"/>
  <c r="N211"/>
  <c r="M211"/>
  <c r="B214" l="1"/>
  <c r="C215"/>
  <c r="I215" s="1"/>
  <c r="H214"/>
  <c r="L214" s="1"/>
  <c r="M212"/>
  <c r="N212"/>
  <c r="B215" l="1"/>
  <c r="B216" s="1"/>
  <c r="M213"/>
  <c r="N213"/>
  <c r="M214"/>
  <c r="N214"/>
  <c r="H215"/>
  <c r="L215" s="1"/>
  <c r="C216"/>
  <c r="I216" s="1"/>
  <c r="C217" l="1"/>
  <c r="I217" s="1"/>
  <c r="H216"/>
  <c r="L216" s="1"/>
  <c r="B217"/>
  <c r="N215" l="1"/>
  <c r="M215"/>
  <c r="C218"/>
  <c r="I218" s="1"/>
  <c r="H217"/>
  <c r="L217" s="1"/>
  <c r="C219" l="1"/>
  <c r="I219" s="1"/>
  <c r="H218"/>
  <c r="L218" s="1"/>
  <c r="M216"/>
  <c r="N216"/>
  <c r="B218"/>
  <c r="B219" s="1"/>
  <c r="N217" l="1"/>
  <c r="M217"/>
  <c r="C220"/>
  <c r="I220" s="1"/>
  <c r="H219"/>
  <c r="L219" s="1"/>
  <c r="C221" l="1"/>
  <c r="I221" s="1"/>
  <c r="H220"/>
  <c r="L220" s="1"/>
  <c r="M218"/>
  <c r="N218"/>
  <c r="B220"/>
  <c r="B221" s="1"/>
  <c r="M219" l="1"/>
  <c r="N219"/>
  <c r="C222"/>
  <c r="H221"/>
  <c r="L221" s="1"/>
  <c r="B222" l="1"/>
  <c r="I222"/>
  <c r="N220"/>
  <c r="M220"/>
  <c r="C223"/>
  <c r="H222"/>
  <c r="B223" l="1"/>
  <c r="I223"/>
  <c r="L222"/>
  <c r="N221"/>
  <c r="M221"/>
  <c r="C224"/>
  <c r="I224" s="1"/>
  <c r="H223"/>
  <c r="L223" l="1"/>
  <c r="C225"/>
  <c r="I225" s="1"/>
  <c r="H224"/>
  <c r="L224" s="1"/>
  <c r="B224"/>
  <c r="B225" s="1"/>
  <c r="N222"/>
  <c r="M222"/>
  <c r="C226" l="1"/>
  <c r="I226" s="1"/>
  <c r="H225"/>
  <c r="L225" s="1"/>
  <c r="M223"/>
  <c r="N223"/>
  <c r="B226"/>
  <c r="M224" l="1"/>
  <c r="N224"/>
  <c r="C227"/>
  <c r="I227" s="1"/>
  <c r="H226"/>
  <c r="L226" s="1"/>
  <c r="B227"/>
  <c r="C228" l="1"/>
  <c r="I228" s="1"/>
  <c r="H227"/>
  <c r="L227" s="1"/>
  <c r="B228"/>
  <c r="M225"/>
  <c r="N225"/>
  <c r="M226" l="1"/>
  <c r="N226"/>
  <c r="C229"/>
  <c r="I229" s="1"/>
  <c r="H228"/>
  <c r="L228" s="1"/>
  <c r="C230" l="1"/>
  <c r="I230" s="1"/>
  <c r="H229"/>
  <c r="L229" s="1"/>
  <c r="N227"/>
  <c r="M227"/>
  <c r="B229"/>
  <c r="B230" s="1"/>
  <c r="C231" l="1"/>
  <c r="I231" s="1"/>
  <c r="H230"/>
  <c r="L230" s="1"/>
  <c r="N228"/>
  <c r="M228"/>
  <c r="B231"/>
  <c r="C232" l="1"/>
  <c r="I232" s="1"/>
  <c r="H231"/>
  <c r="L231" s="1"/>
  <c r="B232"/>
  <c r="N229"/>
  <c r="M229"/>
  <c r="H232" l="1"/>
  <c r="L232" s="1"/>
  <c r="C233"/>
  <c r="I233" s="1"/>
  <c r="M230"/>
  <c r="N230"/>
  <c r="B233"/>
  <c r="H233" l="1"/>
  <c r="L233" s="1"/>
  <c r="C234"/>
  <c r="I234" s="1"/>
  <c r="N231"/>
  <c r="M231"/>
  <c r="B234"/>
  <c r="C235" l="1"/>
  <c r="I235" s="1"/>
  <c r="H234"/>
  <c r="L234" s="1"/>
  <c r="M232"/>
  <c r="N232"/>
  <c r="B235"/>
  <c r="H235" l="1"/>
  <c r="L235" s="1"/>
  <c r="C236"/>
  <c r="I236" s="1"/>
  <c r="N233"/>
  <c r="M233"/>
  <c r="B236"/>
  <c r="H236" l="1"/>
  <c r="L236" s="1"/>
  <c r="C237"/>
  <c r="I237" s="1"/>
  <c r="M234"/>
  <c r="N234"/>
  <c r="B237"/>
  <c r="H237" l="1"/>
  <c r="L237" s="1"/>
  <c r="C238"/>
  <c r="I238" s="1"/>
  <c r="N235"/>
  <c r="M235"/>
  <c r="B238"/>
  <c r="C239" l="1"/>
  <c r="I239" s="1"/>
  <c r="H238"/>
  <c r="L238" s="1"/>
  <c r="M236"/>
  <c r="N236"/>
  <c r="B239"/>
  <c r="M237" l="1"/>
  <c r="N237"/>
  <c r="C240"/>
  <c r="H239"/>
  <c r="L239" s="1"/>
  <c r="B240" l="1"/>
  <c r="I240"/>
  <c r="M238"/>
  <c r="N238"/>
  <c r="C241"/>
  <c r="I241" s="1"/>
  <c r="H240"/>
  <c r="L240" l="1"/>
  <c r="C242"/>
  <c r="I242" s="1"/>
  <c r="H241"/>
  <c r="L241" s="1"/>
  <c r="N239"/>
  <c r="M239"/>
  <c r="B241"/>
  <c r="B242" s="1"/>
  <c r="M240" l="1"/>
  <c r="N240"/>
  <c r="C243"/>
  <c r="H242"/>
  <c r="L242" s="1"/>
  <c r="B243"/>
  <c r="I243" l="1"/>
  <c r="C244"/>
  <c r="B244" s="1"/>
  <c r="M241"/>
  <c r="N241"/>
  <c r="H243"/>
  <c r="L243" l="1"/>
  <c r="C245"/>
  <c r="B245" s="1"/>
  <c r="I244"/>
  <c r="H244"/>
  <c r="N242"/>
  <c r="M242"/>
  <c r="L244" l="1"/>
  <c r="I245"/>
  <c r="H245"/>
  <c r="C246"/>
  <c r="B246" s="1"/>
  <c r="M243"/>
  <c r="N243"/>
  <c r="L245" l="1"/>
  <c r="M245" s="1"/>
  <c r="N244"/>
  <c r="M244"/>
  <c r="I246"/>
  <c r="H246"/>
  <c r="C247"/>
  <c r="N245"/>
  <c r="I247" l="1"/>
  <c r="H247"/>
  <c r="C248"/>
  <c r="L246"/>
  <c r="B247"/>
  <c r="L247" l="1"/>
  <c r="M247" s="1"/>
  <c r="N246"/>
  <c r="M246"/>
  <c r="I248"/>
  <c r="H248"/>
  <c r="C249"/>
  <c r="C250" s="1"/>
  <c r="N247"/>
  <c r="B248"/>
  <c r="B249" s="1"/>
  <c r="I250" l="1"/>
  <c r="C251"/>
  <c r="H250"/>
  <c r="B250"/>
  <c r="E26" i="15"/>
  <c r="E20"/>
  <c r="E24"/>
  <c r="E28"/>
  <c r="E19"/>
  <c r="E17"/>
  <c r="E29"/>
  <c r="E27"/>
  <c r="E25"/>
  <c r="E23"/>
  <c r="E21"/>
  <c r="E22"/>
  <c r="E18"/>
  <c r="L248" i="3"/>
  <c r="N248" s="1"/>
  <c r="I249"/>
  <c r="H249"/>
  <c r="L250" l="1"/>
  <c r="B251"/>
  <c r="H251"/>
  <c r="I251"/>
  <c r="C252"/>
  <c r="M248"/>
  <c r="L249"/>
  <c r="N249" s="1"/>
  <c r="E16" i="15" s="1"/>
  <c r="D23" i="42"/>
  <c r="B252" i="3" l="1"/>
  <c r="H252"/>
  <c r="I252"/>
  <c r="C253"/>
  <c r="N250"/>
  <c r="M250"/>
  <c r="L251"/>
  <c r="M249"/>
  <c r="F23" i="42"/>
  <c r="L252" i="3" l="1"/>
  <c r="N252" s="1"/>
  <c r="N251"/>
  <c r="M251"/>
  <c r="B253"/>
  <c r="H253"/>
  <c r="I253"/>
  <c r="C254"/>
  <c r="E23" i="42"/>
  <c r="M252" i="3" l="1"/>
  <c r="B254"/>
  <c r="H254"/>
  <c r="I254"/>
  <c r="C255"/>
  <c r="L253"/>
  <c r="G23" i="42"/>
  <c r="L254" i="3" l="1"/>
  <c r="N254" s="1"/>
  <c r="N253"/>
  <c r="M253"/>
  <c r="B255"/>
  <c r="H255"/>
  <c r="I255"/>
  <c r="C256"/>
  <c r="M254" l="1"/>
  <c r="B256"/>
  <c r="H256"/>
  <c r="I256"/>
  <c r="C257"/>
  <c r="L255"/>
  <c r="L256" l="1"/>
  <c r="N256" s="1"/>
  <c r="N255"/>
  <c r="M255"/>
  <c r="B257"/>
  <c r="H257"/>
  <c r="I257"/>
  <c r="C258"/>
  <c r="M256" l="1"/>
  <c r="B258"/>
  <c r="H258"/>
  <c r="I258"/>
  <c r="C259"/>
  <c r="L257"/>
  <c r="I259" l="1"/>
  <c r="C260"/>
  <c r="B259"/>
  <c r="H259"/>
  <c r="N257"/>
  <c r="M257"/>
  <c r="L258"/>
  <c r="H23" i="42"/>
  <c r="N258" i="3" l="1"/>
  <c r="M258"/>
  <c r="L259"/>
  <c r="B260"/>
  <c r="H260"/>
  <c r="I260"/>
  <c r="C261"/>
  <c r="L260" l="1"/>
  <c r="N260" s="1"/>
  <c r="E35" i="15"/>
  <c r="C14" i="52" s="1"/>
  <c r="D14" s="1"/>
  <c r="M260" i="3"/>
  <c r="B261"/>
  <c r="I261"/>
  <c r="H261"/>
  <c r="N259"/>
  <c r="M259"/>
  <c r="C17" i="15" l="1"/>
  <c r="C25"/>
  <c r="C33"/>
  <c r="C28"/>
  <c r="C26"/>
  <c r="C19"/>
  <c r="C20"/>
  <c r="C18"/>
  <c r="C31"/>
  <c r="C29"/>
  <c r="C35"/>
  <c r="C23"/>
  <c r="C16"/>
  <c r="C30"/>
  <c r="C27"/>
  <c r="C24"/>
  <c r="C22"/>
  <c r="C32"/>
  <c r="C34"/>
  <c r="C36"/>
  <c r="C21"/>
  <c r="L261" i="3"/>
  <c r="N261" s="1"/>
  <c r="E36" i="15" s="1"/>
  <c r="C15" i="52" s="1"/>
  <c r="D15" s="1"/>
  <c r="E14"/>
  <c r="E32" i="15"/>
  <c r="E34"/>
  <c r="C13" i="52" s="1"/>
  <c r="D13" s="1"/>
  <c r="E31" i="15"/>
  <c r="E33"/>
  <c r="C12" i="52" s="1"/>
  <c r="D12" s="1"/>
  <c r="E30" i="15"/>
  <c r="M261" i="3" l="1"/>
  <c r="D36" i="15" s="1"/>
  <c r="D16"/>
  <c r="D17"/>
  <c r="D18"/>
  <c r="D19"/>
  <c r="D20"/>
  <c r="D21"/>
  <c r="D22"/>
  <c r="D23"/>
  <c r="D24"/>
  <c r="D25"/>
  <c r="D26"/>
  <c r="D27"/>
  <c r="D28"/>
  <c r="D29"/>
  <c r="D30"/>
  <c r="D31"/>
  <c r="D32"/>
  <c r="D33"/>
  <c r="D34"/>
  <c r="D35"/>
  <c r="E12" i="52"/>
  <c r="E15"/>
  <c r="E13"/>
  <c r="F16" i="15" l="1"/>
  <c r="I16"/>
  <c r="J16" l="1"/>
  <c r="L16"/>
  <c r="I17" l="1"/>
  <c r="L17" s="1"/>
  <c r="F17"/>
  <c r="J17" s="1"/>
  <c r="K16"/>
  <c r="G17"/>
  <c r="F18" l="1"/>
  <c r="J18" s="1"/>
  <c r="K18" s="1"/>
  <c r="G18"/>
  <c r="K17"/>
  <c r="F37" i="1"/>
  <c r="G35" s="1"/>
  <c r="D22" i="42"/>
  <c r="E14" s="1"/>
  <c r="I18" i="15"/>
  <c r="L18" l="1"/>
  <c r="F19" s="1"/>
  <c r="J19" s="1"/>
  <c r="K19" s="1"/>
  <c r="F22" i="42"/>
  <c r="H37" i="1"/>
  <c r="E22" i="42"/>
  <c r="G37" i="1"/>
  <c r="G19" i="15" l="1"/>
  <c r="J14" i="51"/>
  <c r="I19" i="15"/>
  <c r="L19" s="1"/>
  <c r="F20" s="1"/>
  <c r="J20" s="1"/>
  <c r="K20" s="1"/>
  <c r="I37" i="1"/>
  <c r="K14" i="51" s="1"/>
  <c r="G22" i="42"/>
  <c r="I20" i="15" l="1"/>
  <c r="L20" s="1"/>
  <c r="I21" s="1"/>
  <c r="G20"/>
  <c r="H22" i="42"/>
  <c r="J37" i="1"/>
  <c r="G21" i="15" l="1"/>
  <c r="H21" s="1"/>
  <c r="F21" s="1"/>
  <c r="J21" s="1"/>
  <c r="K21" s="1"/>
  <c r="L21"/>
  <c r="M21" s="1"/>
  <c r="K37" i="1" l="1"/>
  <c r="I22" i="42"/>
  <c r="K38" i="1"/>
  <c r="I23" i="42"/>
  <c r="I22" i="15"/>
  <c r="L22" s="1"/>
  <c r="M22" s="1"/>
  <c r="G22"/>
  <c r="H22" s="1"/>
  <c r="F22" s="1"/>
  <c r="J22" s="1"/>
  <c r="K22" s="1"/>
  <c r="L38" i="1" l="1"/>
  <c r="J23" i="42"/>
  <c r="I23" i="15"/>
  <c r="G23"/>
  <c r="L23"/>
  <c r="M23" s="1"/>
  <c r="H23"/>
  <c r="F23" s="1"/>
  <c r="J22" i="42"/>
  <c r="L37" i="1"/>
  <c r="K23" i="42" l="1"/>
  <c r="M38" i="1"/>
  <c r="J23" i="15"/>
  <c r="K23" l="1"/>
  <c r="I24"/>
  <c r="G24"/>
  <c r="L24" l="1"/>
  <c r="M24" s="1"/>
  <c r="H24"/>
  <c r="F24" s="1"/>
  <c r="K22" i="42"/>
  <c r="M37" i="1"/>
  <c r="J24" i="15" l="1"/>
  <c r="N38" i="1"/>
  <c r="L23" i="42"/>
  <c r="K24" i="15" l="1"/>
  <c r="I25"/>
  <c r="G25"/>
  <c r="H25" l="1"/>
  <c r="F25" s="1"/>
  <c r="N37" i="1"/>
  <c r="L22" i="42"/>
  <c r="L25" i="15"/>
  <c r="M25" s="1"/>
  <c r="O38" i="1" l="1"/>
  <c r="M23" i="42"/>
  <c r="J25" i="15"/>
  <c r="K25" l="1"/>
  <c r="G26"/>
  <c r="I26"/>
  <c r="H26" l="1"/>
  <c r="F26" s="1"/>
  <c r="L26"/>
  <c r="M26" s="1"/>
  <c r="M22" i="42"/>
  <c r="O37" i="1"/>
  <c r="P38" l="1"/>
  <c r="N23" i="42"/>
  <c r="J26" i="15"/>
  <c r="K26" l="1"/>
  <c r="G27"/>
  <c r="I27"/>
  <c r="L27" l="1"/>
  <c r="M27" s="1"/>
  <c r="P37" i="1"/>
  <c r="N22" i="42"/>
  <c r="H27" i="15"/>
  <c r="F27" s="1"/>
  <c r="J27" l="1"/>
  <c r="Q38" i="1"/>
  <c r="O23" i="42"/>
  <c r="K27" i="15" l="1"/>
  <c r="I28"/>
  <c r="G28"/>
  <c r="H28" l="1"/>
  <c r="F28" s="1"/>
  <c r="O22" i="42"/>
  <c r="Q37" i="1"/>
  <c r="L28" i="15"/>
  <c r="M28" s="1"/>
  <c r="J28" l="1"/>
  <c r="P23" i="42"/>
  <c r="R38" i="1"/>
  <c r="K28" i="15" l="1"/>
  <c r="G29"/>
  <c r="I29"/>
  <c r="L29" l="1"/>
  <c r="M29" s="1"/>
  <c r="R37" i="1"/>
  <c r="P22" i="42"/>
  <c r="H29" i="15"/>
  <c r="F29" s="1"/>
  <c r="J29" l="1"/>
  <c r="Q23" i="42"/>
  <c r="S38" i="1"/>
  <c r="K29" i="15" l="1"/>
  <c r="I30"/>
  <c r="G30"/>
  <c r="L30" l="1"/>
  <c r="M30" s="1"/>
  <c r="H30"/>
  <c r="F30" s="1"/>
  <c r="Q22" i="42"/>
  <c r="S37" i="1"/>
  <c r="J30" i="15" l="1"/>
  <c r="T38" i="1"/>
  <c r="R23" i="42"/>
  <c r="K30" i="15" l="1"/>
  <c r="I31"/>
  <c r="G31"/>
  <c r="H31" l="1"/>
  <c r="F31" s="1"/>
  <c r="T37" i="1"/>
  <c r="R22" i="42"/>
  <c r="L31" i="15"/>
  <c r="M31" s="1"/>
  <c r="S23" i="42" l="1"/>
  <c r="U38" i="1"/>
  <c r="J31" i="15"/>
  <c r="K31" l="1"/>
  <c r="G32"/>
  <c r="I32"/>
  <c r="H32" l="1"/>
  <c r="F32" s="1"/>
  <c r="L32"/>
  <c r="M32" s="1"/>
  <c r="U37" i="1"/>
  <c r="S22" i="42"/>
  <c r="V38" i="1" l="1"/>
  <c r="T23" i="42"/>
  <c r="J32" i="15"/>
  <c r="K32" l="1"/>
  <c r="G33"/>
  <c r="I33"/>
  <c r="L33" l="1"/>
  <c r="M33" s="1"/>
  <c r="T22" i="42"/>
  <c r="V37" i="1"/>
  <c r="H33" i="15"/>
  <c r="F33" s="1"/>
  <c r="J33" l="1"/>
  <c r="W38" i="1"/>
  <c r="U23" i="42"/>
  <c r="K33" i="15" l="1"/>
  <c r="I34"/>
  <c r="G34"/>
  <c r="H34" l="1"/>
  <c r="F34" s="1"/>
  <c r="U22" i="42"/>
  <c r="W37" i="1"/>
  <c r="L34" i="15"/>
  <c r="M34" s="1"/>
  <c r="J34" l="1"/>
  <c r="X38" i="1"/>
  <c r="V23" i="42"/>
  <c r="K34" i="15" l="1"/>
  <c r="G35"/>
  <c r="I35"/>
  <c r="L35" l="1"/>
  <c r="M35" s="1"/>
  <c r="X37" i="1"/>
  <c r="V22" i="42"/>
  <c r="H35" i="15"/>
  <c r="F35" s="1"/>
  <c r="J35" l="1"/>
  <c r="W23" i="42"/>
  <c r="Z38" i="1"/>
  <c r="Y38"/>
  <c r="K35" i="15" l="1"/>
  <c r="G36"/>
  <c r="H36" s="1"/>
  <c r="F36" s="1"/>
  <c r="J36" s="1"/>
  <c r="K36" s="1"/>
  <c r="X22" i="42" s="1"/>
  <c r="I36" i="15"/>
  <c r="L36" l="1"/>
  <c r="M36" s="1"/>
  <c r="X23" i="42" s="1"/>
  <c r="W22"/>
  <c r="Z37" i="1"/>
  <c r="Y37"/>
  <c r="C11" i="52" l="1"/>
  <c r="D11" s="1"/>
  <c r="E11" s="1"/>
  <c r="E18" i="44" l="1"/>
  <c r="E16" s="1"/>
  <c r="E10" s="1"/>
  <c r="E31" i="42" s="1"/>
  <c r="G20" i="1"/>
  <c r="G18" s="1"/>
  <c r="H20"/>
  <c r="F18" i="44"/>
  <c r="E29" i="42" l="1"/>
  <c r="E27" s="1"/>
  <c r="E12" s="1"/>
  <c r="E12" i="35" s="1"/>
  <c r="E16" i="42"/>
  <c r="F14" s="1"/>
  <c r="F16" i="44"/>
  <c r="F10" s="1"/>
  <c r="F31" i="42" s="1"/>
  <c r="H18" i="1"/>
  <c r="E19" i="51" s="1"/>
  <c r="E21"/>
  <c r="E10" i="35"/>
  <c r="H52" i="1"/>
  <c r="G52"/>
  <c r="G12"/>
  <c r="G46" s="1"/>
  <c r="H12" l="1"/>
  <c r="H46" s="1"/>
  <c r="F10" i="35"/>
  <c r="F29" i="42"/>
  <c r="F16"/>
  <c r="G14" s="1"/>
  <c r="E13" i="51"/>
  <c r="I35" i="1"/>
  <c r="H35"/>
  <c r="J12" i="51" s="1"/>
  <c r="G44" i="1"/>
  <c r="G42" s="1"/>
  <c r="G33" s="1"/>
  <c r="G10" s="1"/>
  <c r="I20"/>
  <c r="G18" i="44"/>
  <c r="G16" s="1"/>
  <c r="G10" s="1"/>
  <c r="G31" i="42" s="1"/>
  <c r="F27" l="1"/>
  <c r="F12" s="1"/>
  <c r="F12" i="35" s="1"/>
  <c r="K12" i="51"/>
  <c r="I18" i="1"/>
  <c r="F19" i="51" s="1"/>
  <c r="F21"/>
  <c r="H44" i="1"/>
  <c r="J23" i="51"/>
  <c r="G57" i="1"/>
  <c r="G29" i="42"/>
  <c r="G10" i="35"/>
  <c r="G16" i="42"/>
  <c r="H14" s="1"/>
  <c r="J20" i="1"/>
  <c r="H18" i="44"/>
  <c r="H16" s="1"/>
  <c r="H10" s="1"/>
  <c r="H31" i="42" s="1"/>
  <c r="G27" l="1"/>
  <c r="G12" s="1"/>
  <c r="G12" i="35" s="1"/>
  <c r="I12" i="1"/>
  <c r="I46" s="1"/>
  <c r="J18"/>
  <c r="J52" s="1"/>
  <c r="I52"/>
  <c r="F13" i="51"/>
  <c r="H42" i="1"/>
  <c r="J21" i="51"/>
  <c r="H10" i="35"/>
  <c r="H29" i="42"/>
  <c r="H27" s="1"/>
  <c r="H12" s="1"/>
  <c r="H12" i="35" s="1"/>
  <c r="H16" i="42"/>
  <c r="I14" s="1"/>
  <c r="K20" i="1"/>
  <c r="I18" i="44"/>
  <c r="I16" s="1"/>
  <c r="I10" s="1"/>
  <c r="I31" i="42" s="1"/>
  <c r="G59" i="1"/>
  <c r="J35" l="1"/>
  <c r="J12"/>
  <c r="K18"/>
  <c r="K12" s="1"/>
  <c r="K46" s="1"/>
  <c r="H54"/>
  <c r="I44"/>
  <c r="K23" i="51"/>
  <c r="J19"/>
  <c r="H33" i="1"/>
  <c r="J10" i="51" s="1"/>
  <c r="K52" i="1"/>
  <c r="L20"/>
  <c r="J18" i="44"/>
  <c r="J16" s="1"/>
  <c r="J10" s="1"/>
  <c r="J31" i="42" s="1"/>
  <c r="I29"/>
  <c r="I16"/>
  <c r="J14" s="1"/>
  <c r="I10" i="35"/>
  <c r="K30" i="51" l="1"/>
  <c r="J30"/>
  <c r="J46" i="1"/>
  <c r="J44" s="1"/>
  <c r="J42" s="1"/>
  <c r="J33" s="1"/>
  <c r="K35"/>
  <c r="I27" i="42"/>
  <c r="I12" s="1"/>
  <c r="I12" i="35" s="1"/>
  <c r="L18" i="1"/>
  <c r="L52" s="1"/>
  <c r="H10"/>
  <c r="I42"/>
  <c r="K21" i="51"/>
  <c r="E11"/>
  <c r="H57" i="1"/>
  <c r="L12"/>
  <c r="L46" s="1"/>
  <c r="K44"/>
  <c r="K42" s="1"/>
  <c r="L35"/>
  <c r="M20"/>
  <c r="K18" i="44"/>
  <c r="K16" s="1"/>
  <c r="K10" s="1"/>
  <c r="K31" i="42" s="1"/>
  <c r="J10" i="35"/>
  <c r="J29" i="42"/>
  <c r="J16"/>
  <c r="K14" s="1"/>
  <c r="K33" i="51" l="1"/>
  <c r="J33"/>
  <c r="M18" i="1"/>
  <c r="K33"/>
  <c r="H59"/>
  <c r="J27" i="42"/>
  <c r="J12" s="1"/>
  <c r="J12" i="35" s="1"/>
  <c r="I33" i="1"/>
  <c r="K10" i="51" s="1"/>
  <c r="K19"/>
  <c r="I54" i="1"/>
  <c r="I10" s="1"/>
  <c r="K29" i="42"/>
  <c r="K27" s="1"/>
  <c r="K12" s="1"/>
  <c r="K12" i="35" s="1"/>
  <c r="K10"/>
  <c r="K16" i="42"/>
  <c r="L14" s="1"/>
  <c r="M52" i="1"/>
  <c r="M12"/>
  <c r="M46" s="1"/>
  <c r="L44"/>
  <c r="L42" s="1"/>
  <c r="L33" s="1"/>
  <c r="M35"/>
  <c r="N20"/>
  <c r="N18" s="1"/>
  <c r="L18" i="44"/>
  <c r="L16" s="1"/>
  <c r="L10" s="1"/>
  <c r="L31" i="42" s="1"/>
  <c r="K35" i="51" l="1"/>
  <c r="J35"/>
  <c r="N52" i="1"/>
  <c r="N12"/>
  <c r="N46" s="1"/>
  <c r="N35"/>
  <c r="M44"/>
  <c r="M42" s="1"/>
  <c r="M33" s="1"/>
  <c r="O20"/>
  <c r="O18" s="1"/>
  <c r="M18" i="44"/>
  <c r="M16" s="1"/>
  <c r="M10" s="1"/>
  <c r="M31" i="42" s="1"/>
  <c r="L29"/>
  <c r="L27" s="1"/>
  <c r="L12" s="1"/>
  <c r="L12" i="35" s="1"/>
  <c r="L16" i="42"/>
  <c r="M14" s="1"/>
  <c r="L10" i="35"/>
  <c r="F11" i="51" l="1"/>
  <c r="I57" i="1"/>
  <c r="O52"/>
  <c r="O12"/>
  <c r="O46" s="1"/>
  <c r="N44"/>
  <c r="N42" s="1"/>
  <c r="N33" s="1"/>
  <c r="O35"/>
  <c r="P20"/>
  <c r="P18" s="1"/>
  <c r="N18" i="44"/>
  <c r="N16" s="1"/>
  <c r="N10" s="1"/>
  <c r="N31" i="42" s="1"/>
  <c r="M29"/>
  <c r="M27" s="1"/>
  <c r="M12" s="1"/>
  <c r="M12" i="35" s="1"/>
  <c r="M16" i="42"/>
  <c r="N14" s="1"/>
  <c r="M10" i="35"/>
  <c r="I59" i="1" l="1"/>
  <c r="N10" i="35"/>
  <c r="N16" i="42"/>
  <c r="O14" s="1"/>
  <c r="N29"/>
  <c r="N27" s="1"/>
  <c r="N12" s="1"/>
  <c r="N12" i="35" s="1"/>
  <c r="O44" i="1"/>
  <c r="O42" s="1"/>
  <c r="O33" s="1"/>
  <c r="P35"/>
  <c r="P12"/>
  <c r="P46" s="1"/>
  <c r="P52"/>
  <c r="Q20"/>
  <c r="Q18" s="1"/>
  <c r="O18" i="44"/>
  <c r="O16" s="1"/>
  <c r="O10" s="1"/>
  <c r="O31" i="42" s="1"/>
  <c r="J54" i="1" l="1"/>
  <c r="J10" s="1"/>
  <c r="O29" i="42"/>
  <c r="O27" s="1"/>
  <c r="O12" s="1"/>
  <c r="O12" i="35" s="1"/>
  <c r="O10"/>
  <c r="O16" i="42"/>
  <c r="P14" s="1"/>
  <c r="Q12" i="1"/>
  <c r="Q46" s="1"/>
  <c r="Q52"/>
  <c r="Q35"/>
  <c r="P44"/>
  <c r="P42" s="1"/>
  <c r="P33" s="1"/>
  <c r="P18" i="44"/>
  <c r="P16" s="1"/>
  <c r="P10" s="1"/>
  <c r="P31" i="42" s="1"/>
  <c r="R20" i="1"/>
  <c r="R18" s="1"/>
  <c r="J57" l="1"/>
  <c r="J59" s="1"/>
  <c r="K54" s="1"/>
  <c r="K10" s="1"/>
  <c r="R52"/>
  <c r="R12"/>
  <c r="R46" s="1"/>
  <c r="P29" i="42"/>
  <c r="P27" s="1"/>
  <c r="P12" s="1"/>
  <c r="P12" i="35" s="1"/>
  <c r="P10"/>
  <c r="P16" i="42"/>
  <c r="Q14" s="1"/>
  <c r="S20" i="1"/>
  <c r="S18" s="1"/>
  <c r="Q18" i="44"/>
  <c r="Q16" s="1"/>
  <c r="Q10" s="1"/>
  <c r="Q31" i="42" s="1"/>
  <c r="R35" i="1"/>
  <c r="Q44"/>
  <c r="Q42" s="1"/>
  <c r="Q33" s="1"/>
  <c r="K57" l="1"/>
  <c r="K59" s="1"/>
  <c r="L54" s="1"/>
  <c r="Q29" i="42"/>
  <c r="Q27" s="1"/>
  <c r="Q12" s="1"/>
  <c r="Q12" i="35" s="1"/>
  <c r="Q16" i="42"/>
  <c r="R14" s="1"/>
  <c r="Q10" i="35"/>
  <c r="T20" i="1"/>
  <c r="T18" s="1"/>
  <c r="R18" i="44"/>
  <c r="R16" s="1"/>
  <c r="R10" s="1"/>
  <c r="R31" i="42" s="1"/>
  <c r="S52" i="1"/>
  <c r="S12"/>
  <c r="S46" s="1"/>
  <c r="S35"/>
  <c r="R44"/>
  <c r="R42" s="1"/>
  <c r="R33" s="1"/>
  <c r="L10" l="1"/>
  <c r="L57" s="1"/>
  <c r="L59" s="1"/>
  <c r="M54" s="1"/>
  <c r="M10" s="1"/>
  <c r="S44"/>
  <c r="S42" s="1"/>
  <c r="S33" s="1"/>
  <c r="T35"/>
  <c r="R10" i="35"/>
  <c r="R16" i="42"/>
  <c r="S14" s="1"/>
  <c r="R29"/>
  <c r="R27" s="1"/>
  <c r="R12" s="1"/>
  <c r="R12" i="35" s="1"/>
  <c r="T12" i="1"/>
  <c r="T46" s="1"/>
  <c r="T52"/>
  <c r="U20"/>
  <c r="U18" s="1"/>
  <c r="S18" i="44"/>
  <c r="S16" s="1"/>
  <c r="S10" s="1"/>
  <c r="S31" i="42" s="1"/>
  <c r="M57" i="1" l="1"/>
  <c r="S29" i="42"/>
  <c r="S27" s="1"/>
  <c r="S12" s="1"/>
  <c r="S12" i="35" s="1"/>
  <c r="S10"/>
  <c r="S16" i="42"/>
  <c r="T14" s="1"/>
  <c r="U12" i="1"/>
  <c r="U46" s="1"/>
  <c r="U52"/>
  <c r="T44"/>
  <c r="T42" s="1"/>
  <c r="U35"/>
  <c r="V20"/>
  <c r="V18" s="1"/>
  <c r="T18" i="44"/>
  <c r="T16" s="1"/>
  <c r="T10" s="1"/>
  <c r="T31" i="42" s="1"/>
  <c r="T33" i="1"/>
  <c r="T29" i="42" l="1"/>
  <c r="T27" s="1"/>
  <c r="T10" i="35"/>
  <c r="T16" i="42"/>
  <c r="U14" s="1"/>
  <c r="V52" i="1"/>
  <c r="V12"/>
  <c r="V46" s="1"/>
  <c r="V35"/>
  <c r="U44"/>
  <c r="U42" s="1"/>
  <c r="U33" s="1"/>
  <c r="M59"/>
  <c r="N54" s="1"/>
  <c r="N10" s="1"/>
  <c r="W20"/>
  <c r="W18" s="1"/>
  <c r="U18" i="44"/>
  <c r="U16" s="1"/>
  <c r="U10" s="1"/>
  <c r="U31" i="42" s="1"/>
  <c r="T12"/>
  <c r="T12" i="35" s="1"/>
  <c r="N57" i="1" l="1"/>
  <c r="U29" i="42"/>
  <c r="U27" s="1"/>
  <c r="U12" s="1"/>
  <c r="U12" i="35" s="1"/>
  <c r="U16" i="42"/>
  <c r="V14" s="1"/>
  <c r="U10" i="35"/>
  <c r="W52" i="1"/>
  <c r="W12"/>
  <c r="W46" s="1"/>
  <c r="X20"/>
  <c r="X18" s="1"/>
  <c r="V18" i="44"/>
  <c r="V16" s="1"/>
  <c r="V10" s="1"/>
  <c r="V31" i="42" s="1"/>
  <c r="V44" i="1"/>
  <c r="V42" s="1"/>
  <c r="V33" s="1"/>
  <c r="W35"/>
  <c r="X52" l="1"/>
  <c r="X12"/>
  <c r="X46" s="1"/>
  <c r="N59"/>
  <c r="O54" s="1"/>
  <c r="O10" s="1"/>
  <c r="Y20"/>
  <c r="Y18" s="1"/>
  <c r="W18" i="44"/>
  <c r="W16" s="1"/>
  <c r="W10" s="1"/>
  <c r="W31" i="42" s="1"/>
  <c r="V29"/>
  <c r="V27" s="1"/>
  <c r="V12" s="1"/>
  <c r="V12" i="35" s="1"/>
  <c r="V10"/>
  <c r="V16" i="42"/>
  <c r="W14" s="1"/>
  <c r="X35" i="1"/>
  <c r="W44"/>
  <c r="W42" s="1"/>
  <c r="W33" s="1"/>
  <c r="Y52" l="1"/>
  <c r="Y12"/>
  <c r="Y46" s="1"/>
  <c r="X44"/>
  <c r="X42" s="1"/>
  <c r="Y35"/>
  <c r="X18" i="44"/>
  <c r="X16" s="1"/>
  <c r="X10" s="1"/>
  <c r="X31" i="42" s="1"/>
  <c r="Z20" i="1"/>
  <c r="Z18" s="1"/>
  <c r="W29" i="42"/>
  <c r="W27" s="1"/>
  <c r="W12" s="1"/>
  <c r="W12" i="35" s="1"/>
  <c r="W10"/>
  <c r="W16" i="42"/>
  <c r="X14" s="1"/>
  <c r="O57" i="1"/>
  <c r="X33"/>
  <c r="O59" l="1"/>
  <c r="P54" s="1"/>
  <c r="P10" s="1"/>
  <c r="X29" i="42"/>
  <c r="X27" s="1"/>
  <c r="X12" s="1"/>
  <c r="X12" i="35" s="1"/>
  <c r="X10"/>
  <c r="X16" i="42"/>
  <c r="Y14" s="1"/>
  <c r="Z35" i="1"/>
  <c r="Y44"/>
  <c r="Y42" s="1"/>
  <c r="Y33" s="1"/>
  <c r="Z52"/>
  <c r="Z12"/>
  <c r="Z46" s="1"/>
  <c r="F15" i="52" l="1"/>
  <c r="P57" i="1"/>
  <c r="F13" i="52"/>
  <c r="Z44" i="1"/>
  <c r="Z42" s="1"/>
  <c r="Z33" s="1"/>
  <c r="F14" i="52"/>
  <c r="F12"/>
  <c r="AA35" i="1"/>
  <c r="F11" i="52"/>
  <c r="F16" l="1"/>
  <c r="AA40" i="1" s="1"/>
  <c r="AA33" s="1"/>
  <c r="P59"/>
  <c r="Q54" s="1"/>
  <c r="Q10" s="1"/>
  <c r="Q57" l="1"/>
  <c r="Y25" i="42"/>
  <c r="Y12" s="1"/>
  <c r="Y12" i="35" s="1"/>
  <c r="Q59" i="1" l="1"/>
  <c r="R54" s="1"/>
  <c r="R10" s="1"/>
  <c r="R57" l="1"/>
  <c r="R59" l="1"/>
  <c r="S54" s="1"/>
  <c r="S10" s="1"/>
  <c r="S57" l="1"/>
  <c r="S59" l="1"/>
  <c r="T54" s="1"/>
  <c r="T10" s="1"/>
  <c r="T57" l="1"/>
  <c r="T59" l="1"/>
  <c r="U54" s="1"/>
  <c r="U10" s="1"/>
  <c r="U57" l="1"/>
  <c r="U59" l="1"/>
  <c r="V54" s="1"/>
  <c r="V10" s="1"/>
  <c r="V57" l="1"/>
  <c r="V59" l="1"/>
  <c r="W54" s="1"/>
  <c r="W10" s="1"/>
  <c r="W57" l="1"/>
  <c r="W59" l="1"/>
  <c r="X54" s="1"/>
  <c r="X10" s="1"/>
  <c r="X57" l="1"/>
  <c r="X59" l="1"/>
  <c r="Y54" s="1"/>
  <c r="Y10" s="1"/>
  <c r="Y57" l="1"/>
  <c r="Y59" l="1"/>
  <c r="Z54" s="1"/>
  <c r="Z10" s="1"/>
  <c r="Z57" l="1"/>
  <c r="Z59" l="1"/>
  <c r="AA54" s="1"/>
  <c r="AA10" s="1"/>
  <c r="E13" i="35" l="1"/>
  <c r="E15" s="1"/>
  <c r="E19" l="1"/>
  <c r="G62" i="1" s="1"/>
  <c r="L10" i="48"/>
  <c r="E13" i="41"/>
  <c r="L27" i="48" l="1"/>
  <c r="L31" s="1"/>
  <c r="E15" i="41"/>
  <c r="F10" s="1"/>
  <c r="F13" i="35" s="1"/>
  <c r="F15" s="1"/>
  <c r="F13" i="41" l="1"/>
  <c r="F19" i="35"/>
  <c r="H62" i="1" s="1"/>
  <c r="K38" i="51" l="1"/>
  <c r="J38"/>
  <c r="F15" i="41"/>
  <c r="G10" s="1"/>
  <c r="G13" i="35" s="1"/>
  <c r="G15" s="1"/>
  <c r="G19" l="1"/>
  <c r="I62" i="1" s="1"/>
  <c r="G13" i="41"/>
  <c r="G15" l="1"/>
  <c r="H10" s="1"/>
  <c r="H13" i="35" s="1"/>
  <c r="H15" s="1"/>
  <c r="H13" i="41" l="1"/>
  <c r="H19" i="35"/>
  <c r="J62" i="1" s="1"/>
  <c r="H15" i="41" l="1"/>
  <c r="I10" s="1"/>
  <c r="I13" i="35" s="1"/>
  <c r="I15" s="1"/>
  <c r="I19" l="1"/>
  <c r="K62" i="1" s="1"/>
  <c r="I13" i="41"/>
  <c r="I15" l="1"/>
  <c r="J10" s="1"/>
  <c r="J13" i="35" s="1"/>
  <c r="J15" s="1"/>
  <c r="J13" i="41" l="1"/>
  <c r="J19" i="35"/>
  <c r="L62" i="1" s="1"/>
  <c r="J15" i="41" l="1"/>
  <c r="K10" s="1"/>
  <c r="K13" i="35" s="1"/>
  <c r="K15" s="1"/>
  <c r="K19" l="1"/>
  <c r="M62" i="1" s="1"/>
  <c r="K13" i="41"/>
  <c r="K15" l="1"/>
  <c r="L10" s="1"/>
  <c r="L13" i="35" s="1"/>
  <c r="L15" s="1"/>
  <c r="L13" i="41" l="1"/>
  <c r="L19" i="35"/>
  <c r="N62" i="1" s="1"/>
  <c r="L15" i="41" l="1"/>
  <c r="M10" s="1"/>
  <c r="M13" i="35" s="1"/>
  <c r="M15" s="1"/>
  <c r="M19" l="1"/>
  <c r="O62" i="1" s="1"/>
  <c r="M13" i="41"/>
  <c r="M15" l="1"/>
  <c r="N10" s="1"/>
  <c r="N13" i="35" s="1"/>
  <c r="N15" s="1"/>
  <c r="N13" i="41" l="1"/>
  <c r="N19" i="35"/>
  <c r="P62" i="1" s="1"/>
  <c r="N15" i="41" l="1"/>
  <c r="O10" s="1"/>
  <c r="O13" i="35" s="1"/>
  <c r="O15" s="1"/>
  <c r="O19" l="1"/>
  <c r="Q62" i="1" s="1"/>
  <c r="O13" i="41"/>
  <c r="O15" l="1"/>
  <c r="P10" s="1"/>
  <c r="P13" i="35" s="1"/>
  <c r="P15" s="1"/>
  <c r="P13" i="41" l="1"/>
  <c r="P19" i="35"/>
  <c r="R62" i="1" s="1"/>
  <c r="P15" i="41" l="1"/>
  <c r="Q10" s="1"/>
  <c r="Q13" i="35" s="1"/>
  <c r="Q15" s="1"/>
  <c r="Q19" l="1"/>
  <c r="S62" i="1" s="1"/>
  <c r="Q13" i="41"/>
  <c r="Q15" l="1"/>
  <c r="R10" s="1"/>
  <c r="R13" i="35" s="1"/>
  <c r="R15" s="1"/>
  <c r="R13" i="41" l="1"/>
  <c r="R19" i="35"/>
  <c r="T62" i="1" s="1"/>
  <c r="R15" i="41" l="1"/>
  <c r="S10" s="1"/>
  <c r="S13" i="35" s="1"/>
  <c r="S15" s="1"/>
  <c r="S19" l="1"/>
  <c r="U62" i="1" s="1"/>
  <c r="S13" i="41"/>
  <c r="S15" l="1"/>
  <c r="T10" s="1"/>
  <c r="T13" i="35" s="1"/>
  <c r="T15" s="1"/>
  <c r="T13" i="41" l="1"/>
  <c r="T19" i="35"/>
  <c r="V62" i="1" s="1"/>
  <c r="T15" i="41" l="1"/>
  <c r="U10" s="1"/>
  <c r="U13" i="35" s="1"/>
  <c r="U15" s="1"/>
  <c r="U19" l="1"/>
  <c r="W62" i="1" s="1"/>
  <c r="U13" i="41"/>
  <c r="U15" l="1"/>
  <c r="V10" s="1"/>
  <c r="V13" i="35" s="1"/>
  <c r="V15" s="1"/>
  <c r="V13" i="41" l="1"/>
  <c r="V19" i="35"/>
  <c r="X62" i="1" s="1"/>
  <c r="V15" i="41" l="1"/>
  <c r="W10" s="1"/>
  <c r="W13" i="35" s="1"/>
  <c r="W15" s="1"/>
  <c r="W19" l="1"/>
  <c r="Y62" i="1" s="1"/>
  <c r="W13" i="41"/>
  <c r="W15" l="1"/>
  <c r="X10" s="1"/>
  <c r="X13" i="35" s="1"/>
  <c r="X15" s="1"/>
  <c r="X13" i="41" l="1"/>
  <c r="X19" i="35"/>
  <c r="Z62" i="1" s="1"/>
  <c r="X15" i="41" l="1"/>
  <c r="Y10" s="1"/>
  <c r="Y13" i="35" s="1"/>
  <c r="Y15" s="1"/>
</calcChain>
</file>

<file path=xl/comments1.xml><?xml version="1.0" encoding="utf-8"?>
<comments xmlns="http://schemas.openxmlformats.org/spreadsheetml/2006/main">
  <authors>
    <author>Ofgem</author>
  </authors>
  <commentList>
    <comment ref="B12" authorId="0">
      <text>
        <r>
          <rPr>
            <b/>
            <sz val="8"/>
            <color indexed="81"/>
            <rFont val="Tahoma"/>
            <family val="2"/>
          </rPr>
          <t>Ofgem:</t>
        </r>
        <r>
          <rPr>
            <sz val="8"/>
            <color indexed="81"/>
            <rFont val="Tahoma"/>
            <family val="2"/>
          </rPr>
          <t xml:space="preserve">
Retail price index to be replaced with actual by OFTO as it becomes available. Currently entered at assumed rate of 2 per cent.</t>
        </r>
      </text>
    </comment>
    <comment ref="B27" authorId="0">
      <text>
        <r>
          <rPr>
            <b/>
            <sz val="8"/>
            <color indexed="81"/>
            <rFont val="Tahoma"/>
            <family val="2"/>
          </rPr>
          <t>Ofgem:</t>
        </r>
        <r>
          <rPr>
            <sz val="8"/>
            <color indexed="81"/>
            <rFont val="Tahoma"/>
            <family val="2"/>
          </rPr>
          <t xml:space="preserve">
Average of the daily base rates of Barclay Bank plc (or any other bank as the Authority may from time to time direct) during the period in respect of which the calculation falls to be made. ie the previous calendar year.</t>
        </r>
      </text>
    </comment>
    <comment ref="C29" authorId="0">
      <text>
        <r>
          <rPr>
            <b/>
            <sz val="8"/>
            <color indexed="81"/>
            <rFont val="Tahoma"/>
            <family val="2"/>
          </rPr>
          <t>Ofgem:</t>
        </r>
        <r>
          <rPr>
            <sz val="8"/>
            <color indexed="81"/>
            <rFont val="Tahoma"/>
            <family val="2"/>
          </rPr>
          <t xml:space="preserve">
TRS represents the tender revenue stream stated in Condition E12 - J2</t>
        </r>
      </text>
    </comment>
    <comment ref="C30" authorId="0">
      <text>
        <r>
          <rPr>
            <b/>
            <sz val="8"/>
            <color indexed="81"/>
            <rFont val="Tahoma"/>
            <family val="2"/>
          </rPr>
          <t>Ofgem:</t>
        </r>
        <r>
          <rPr>
            <sz val="8"/>
            <color indexed="81"/>
            <rFont val="Tahoma"/>
            <family val="2"/>
          </rPr>
          <t xml:space="preserve">
MRA to be set through Condition E12 - A2</t>
        </r>
      </text>
    </comment>
    <comment ref="C31" authorId="0">
      <text>
        <r>
          <rPr>
            <b/>
            <sz val="8"/>
            <color indexed="81"/>
            <rFont val="Tahoma"/>
            <family val="2"/>
          </rPr>
          <t>Ofgem:</t>
        </r>
        <r>
          <rPr>
            <sz val="8"/>
            <color indexed="81"/>
            <rFont val="Tahoma"/>
            <family val="2"/>
          </rPr>
          <t xml:space="preserve">
PTRA to be set through Condition E12 - A3</t>
        </r>
      </text>
    </comment>
    <comment ref="C32" authorId="0">
      <text>
        <r>
          <rPr>
            <b/>
            <sz val="8"/>
            <color indexed="81"/>
            <rFont val="Tahoma"/>
            <family val="2"/>
          </rPr>
          <t>Ofgem:</t>
        </r>
        <r>
          <rPr>
            <sz val="8"/>
            <color indexed="81"/>
            <rFont val="Tahoma"/>
            <family val="2"/>
          </rPr>
          <t xml:space="preserve">
PR accounts for the proportion and is set by  Condition E12 - J2.</t>
        </r>
      </text>
    </comment>
  </commentList>
</comments>
</file>

<file path=xl/comments2.xml><?xml version="1.0" encoding="utf-8"?>
<comments xmlns="http://schemas.openxmlformats.org/spreadsheetml/2006/main">
  <authors>
    <author>Ofgem</author>
  </authors>
  <commentList>
    <comment ref="C10" authorId="0">
      <text>
        <r>
          <rPr>
            <b/>
            <sz val="8"/>
            <color indexed="81"/>
            <rFont val="Tahoma"/>
            <family val="2"/>
          </rPr>
          <t>Ofgem:</t>
        </r>
        <r>
          <rPr>
            <sz val="8"/>
            <color indexed="81"/>
            <rFont val="Tahoma"/>
            <family val="2"/>
          </rPr>
          <t xml:space="preserve">
This represents all of the pass through costs from Special Licence Condition J3.</t>
        </r>
      </text>
    </comment>
  </commentList>
</comments>
</file>

<file path=xl/sharedStrings.xml><?xml version="1.0" encoding="utf-8"?>
<sst xmlns="http://schemas.openxmlformats.org/spreadsheetml/2006/main" count="800" uniqueCount="332">
  <si>
    <t>Year</t>
  </si>
  <si>
    <t>TRS</t>
  </si>
  <si>
    <t>Description</t>
  </si>
  <si>
    <t>Month i</t>
  </si>
  <si>
    <t>Month</t>
  </si>
  <si>
    <t>PTRA</t>
  </si>
  <si>
    <t xml:space="preserve">Transmission System Performance Penalty </t>
  </si>
  <si>
    <t>Performance Penalty Revenue Offset</t>
  </si>
  <si>
    <t>OFTO Network Capacity (MW)</t>
  </si>
  <si>
    <t>Adjusted Performance Availability Permits Earned</t>
  </si>
  <si>
    <t>January</t>
  </si>
  <si>
    <t>February</t>
  </si>
  <si>
    <t>March</t>
  </si>
  <si>
    <t>April</t>
  </si>
  <si>
    <t>May</t>
  </si>
  <si>
    <t>June</t>
  </si>
  <si>
    <t>July</t>
  </si>
  <si>
    <t>August</t>
  </si>
  <si>
    <t>September</t>
  </si>
  <si>
    <t>October</t>
  </si>
  <si>
    <t>November</t>
  </si>
  <si>
    <t>December</t>
  </si>
  <si>
    <t>Monthly Value of TSICOL</t>
  </si>
  <si>
    <t>Transmission System Performance Credit</t>
  </si>
  <si>
    <t>5 Year Credit Mechanism</t>
  </si>
  <si>
    <t>Performance Availability Payout Credit</t>
  </si>
  <si>
    <t>5 Year Penalty Limit</t>
  </si>
  <si>
    <t>Collar</t>
  </si>
  <si>
    <t>Date &amp; time of outage starts</t>
  </si>
  <si>
    <t>Equipment on which fault occurred</t>
  </si>
  <si>
    <t xml:space="preserve">Exclusion Requested </t>
  </si>
  <si>
    <t>Description of Fault</t>
  </si>
  <si>
    <t>Planned</t>
  </si>
  <si>
    <t>Outage Type (Planned/ Unplanned)</t>
  </si>
  <si>
    <t>No</t>
  </si>
  <si>
    <t>Unplanned</t>
  </si>
  <si>
    <t>Yes</t>
  </si>
  <si>
    <t>Exclusion Approved by Authority</t>
  </si>
  <si>
    <t>RCF</t>
  </si>
  <si>
    <t>TSIF</t>
  </si>
  <si>
    <t>Transmission System  Incentive Factor</t>
  </si>
  <si>
    <t>COL</t>
  </si>
  <si>
    <t>Transmission System Incentive Rate</t>
  </si>
  <si>
    <t>Transmission System Incentive Target</t>
  </si>
  <si>
    <t>Availability Penalties Earned</t>
  </si>
  <si>
    <t>Availability Credits Earned</t>
  </si>
  <si>
    <t>Annual Value of TSICOL</t>
  </si>
  <si>
    <t>Transmission System Availability Credit Factor</t>
  </si>
  <si>
    <t>Transmission System Availability Penalty Factor</t>
  </si>
  <si>
    <t>Total Performance Availability Permits Earned</t>
  </si>
  <si>
    <t>Key</t>
  </si>
  <si>
    <t>Amendment</t>
  </si>
  <si>
    <t>Version</t>
  </si>
  <si>
    <t>Date</t>
  </si>
  <si>
    <t>MRA</t>
  </si>
  <si>
    <t>Excluded Services</t>
  </si>
  <si>
    <t>Activity Description</t>
  </si>
  <si>
    <t>£m</t>
  </si>
  <si>
    <t>Total</t>
  </si>
  <si>
    <t>De Minimis Activities</t>
  </si>
  <si>
    <t>Penalty Application Level</t>
  </si>
  <si>
    <t>TSAIt = BRt x (TSACt - TSAFt)</t>
  </si>
  <si>
    <t>CCR</t>
  </si>
  <si>
    <t>Risk Compensation Factor</t>
  </si>
  <si>
    <t>Allowed transmission owner revenue (£m)</t>
  </si>
  <si>
    <t>Proportion of Revenue term</t>
  </si>
  <si>
    <t>Retail Inflation term</t>
  </si>
  <si>
    <t>Base Revenue term (£m)</t>
  </si>
  <si>
    <t>Allowed Offshore Transmission Owner Revenue term (£m)</t>
  </si>
  <si>
    <t>Licence Fee cost adj. term  (£m)</t>
  </si>
  <si>
    <t>Decommissioning Cost adj. term  (£m)</t>
  </si>
  <si>
    <t>Temporary Physical Disconnection term  (£m)</t>
  </si>
  <si>
    <t>Marine and Coastal Act 2009 adj. term (£m)</t>
  </si>
  <si>
    <t>Restriction of transmission - Pass Through term (£m)</t>
  </si>
  <si>
    <t>Transmission system availability incentive (£m)</t>
  </si>
  <si>
    <t>Transmission System Availability Credit (%)</t>
  </si>
  <si>
    <t>Transmission System Availability Payment (£m)</t>
  </si>
  <si>
    <t>Incremental capacity incentive adj. term (£m)</t>
  </si>
  <si>
    <t>Capacity utilisation adjustment term (£m)</t>
  </si>
  <si>
    <t>Additional Capacity Adjustment term (£m)</t>
  </si>
  <si>
    <t>Regulated transmission revenue (£m)</t>
  </si>
  <si>
    <t>Penalty Interest Rate</t>
  </si>
  <si>
    <t>PI</t>
  </si>
  <si>
    <t>Date &amp; Time outage ends</t>
  </si>
  <si>
    <t>Base Revenue transmission (£m)</t>
  </si>
  <si>
    <t>Pass Through term (£m)</t>
  </si>
  <si>
    <t>Actual Revenue received from NETSO (£m)</t>
  </si>
  <si>
    <t>Penalty Interest rate (%)</t>
  </si>
  <si>
    <t>Defined terms from amended standard condition E12 - J2 and E12 - J4</t>
  </si>
  <si>
    <t>Please provide a list of De Minimis Activities for all items</t>
  </si>
  <si>
    <t>Please provide a list of all excluded services</t>
  </si>
  <si>
    <t>Actual Revenue from NETSO (£m)</t>
  </si>
  <si>
    <t>Crown Estate Licence cost adj term  (£m)</t>
  </si>
  <si>
    <t>Income Adjusting event adj. Term  (£m)</t>
  </si>
  <si>
    <t>Tender Cost Adj. term (£m)</t>
  </si>
  <si>
    <t xml:space="preserve">Average specified Interest rate (%) </t>
  </si>
  <si>
    <t>Defined terms from Annex A to Condition E12 - J4</t>
  </si>
  <si>
    <t>TRSt</t>
  </si>
  <si>
    <t>MRAt</t>
  </si>
  <si>
    <t>PTRAt</t>
  </si>
  <si>
    <t>Performance Adjustment term (£m)</t>
  </si>
  <si>
    <t>Transmission System Availability Incentive (£m)</t>
  </si>
  <si>
    <t>Rates for networks Business cost adj. term  (£m)</t>
  </si>
  <si>
    <t>Retail Inflation Term</t>
  </si>
  <si>
    <t>Performance Adj. (£m)</t>
  </si>
  <si>
    <t>Incremental Capacity incentive Adj. term (£m)</t>
  </si>
  <si>
    <t>ICAt = ICUAt - ACAt</t>
  </si>
  <si>
    <t>Incremental Capacity Utilisation Adjustment term (£m)</t>
  </si>
  <si>
    <t>Interest rate (%)</t>
  </si>
  <si>
    <t>Transmission System Availability Failure (%)</t>
  </si>
  <si>
    <t>ICUAIt = MAX(0,ICRDt x (RITt x ICUt)</t>
  </si>
  <si>
    <t>IF ARt&gt;1.04xOFTOt then apply Penalty Interest</t>
  </si>
  <si>
    <t>Retail Price Inflation rate (%)</t>
  </si>
  <si>
    <t>De-Minimis Turnover</t>
  </si>
  <si>
    <t>(please list)</t>
  </si>
  <si>
    <t>Turnover as per Profit and Loss</t>
  </si>
  <si>
    <t>Commentary</t>
  </si>
  <si>
    <t xml:space="preserve">Excluded Services </t>
  </si>
  <si>
    <t>Other revenue Items</t>
  </si>
  <si>
    <t>Cell options</t>
  </si>
  <si>
    <t>N/A</t>
  </si>
  <si>
    <t>E12 - J4</t>
  </si>
  <si>
    <t>E12 - J2</t>
  </si>
  <si>
    <t>Licence Condition</t>
  </si>
  <si>
    <t>Value</t>
  </si>
  <si>
    <t>Name</t>
  </si>
  <si>
    <t>APt</t>
  </si>
  <si>
    <t>Retail Price Index Number</t>
  </si>
  <si>
    <t xml:space="preserve">Tender Revenue Stream term (£m, real) </t>
  </si>
  <si>
    <t>Market Rate Revenue adj. term (£m, real)</t>
  </si>
  <si>
    <t>Post Tender Revenue adj. term (£m, real)</t>
  </si>
  <si>
    <t>Tender Revenue Stream term (£m, real)</t>
  </si>
  <si>
    <t>Market Rate revenue Adj. term (£m, real)</t>
  </si>
  <si>
    <t>Post Tender Revenue Adj. term (£m, real)</t>
  </si>
  <si>
    <t>Market Rate Adj. term (£m, real)</t>
  </si>
  <si>
    <t>Tender Revenue Bid</t>
  </si>
  <si>
    <t>£m, real</t>
  </si>
  <si>
    <t>Description of adjustment (please list)</t>
  </si>
  <si>
    <t xml:space="preserve">Forecast </t>
  </si>
  <si>
    <t>5 Year Penalty Balance</t>
  </si>
  <si>
    <t>5YPBy-1 + TSPPy-5 + TSPCy-1 - PPROy-1 - 5YPLy-1 - PAPCy-1</t>
  </si>
  <si>
    <t>IF(AND((TSPPy-5+AVCOLy-5)&lt;0,(5YPBy&lt;0),5YPBy,0)</t>
  </si>
  <si>
    <t>5YCMy-1 + TSPCy-5 + TSPPy + PPROy-1 - 5YPLy-1 - PAPCy-1</t>
  </si>
  <si>
    <t>TPAPEy-1 + TSPPy + TSPCy - 5YPLy - PPROy-1 - PAPCy-1</t>
  </si>
  <si>
    <t>SUMIF(ACEy,i=1 to i=12)</t>
  </si>
  <si>
    <t>SUMIF(APEy,i=1 to i=12)</t>
  </si>
  <si>
    <t>TPAPEy</t>
  </si>
  <si>
    <t>5YPBy</t>
  </si>
  <si>
    <t>5YPLy</t>
  </si>
  <si>
    <t>5YCMy</t>
  </si>
  <si>
    <t>PPROy</t>
  </si>
  <si>
    <t>PAPCy</t>
  </si>
  <si>
    <t>SUMIF(MVOLyt, i=1 to i=12)</t>
  </si>
  <si>
    <t>IF(TPAPEy&lt;0,IF(TPAPEy&lt;-AVCOLy,-AVCOLy,TPAPEy),0)</t>
  </si>
  <si>
    <t>-PPROy / AVCOLy x TSIF</t>
  </si>
  <si>
    <t>IF(5YCMy&gt;0,5YCMy,0)</t>
  </si>
  <si>
    <t>PAPCy / AVCOLy-5 x TSIF</t>
  </si>
  <si>
    <t>JAN-DEC</t>
  </si>
  <si>
    <t>Apr-Mar</t>
  </si>
  <si>
    <t>Jul-Mar</t>
  </si>
  <si>
    <t>Apr-Jun</t>
  </si>
  <si>
    <t>Months</t>
  </si>
  <si>
    <t>JAN-JUN</t>
  </si>
  <si>
    <t>JUL-DEC</t>
  </si>
  <si>
    <t>Proportion of Revenue</t>
  </si>
  <si>
    <t>TSAIt = ((BRt-1/PRt-1) x PRt-6 x TSACy) - (BRt-1 x TSAFt)</t>
  </si>
  <si>
    <t>Calculation of Transission System Availability Payment</t>
  </si>
  <si>
    <t>Reconciling Items</t>
  </si>
  <si>
    <t>Correction factor on year to year revenue (£m)</t>
  </si>
  <si>
    <t>Project:</t>
  </si>
  <si>
    <t>OFTO:</t>
  </si>
  <si>
    <t>Year:</t>
  </si>
  <si>
    <t>Cells to be populated by company</t>
  </si>
  <si>
    <t>Cells contains a total, other formulae or links to other cells in the reporting pack</t>
  </si>
  <si>
    <t>Cells where NO DATA should be input</t>
  </si>
  <si>
    <t>Cells populated by Ofgem</t>
  </si>
  <si>
    <t>Check cell indicating an error (uses conditional formatting)</t>
  </si>
  <si>
    <t>Check cell indicating no error (uses conditional formatting)</t>
  </si>
  <si>
    <t>Sign off</t>
  </si>
  <si>
    <t>Name:</t>
  </si>
  <si>
    <t>[Name of director]</t>
  </si>
  <si>
    <t>Position:</t>
  </si>
  <si>
    <t>Date:</t>
  </si>
  <si>
    <t>Reviewed</t>
  </si>
  <si>
    <t>Section</t>
  </si>
  <si>
    <t>OFFSHORE TRANSMISSION - REVENUE reporting pack</t>
  </si>
  <si>
    <r>
      <t>TSAC</t>
    </r>
    <r>
      <rPr>
        <vertAlign val="subscript"/>
        <sz val="10"/>
        <rFont val="Verdana"/>
        <family val="2"/>
      </rPr>
      <t>t</t>
    </r>
  </si>
  <si>
    <r>
      <t>PA</t>
    </r>
    <r>
      <rPr>
        <b/>
        <vertAlign val="subscript"/>
        <sz val="10"/>
        <rFont val="Verdana"/>
        <family val="2"/>
      </rPr>
      <t>t</t>
    </r>
  </si>
  <si>
    <r>
      <t>OFTO</t>
    </r>
    <r>
      <rPr>
        <b/>
        <vertAlign val="subscript"/>
        <sz val="10"/>
        <rFont val="Verdana"/>
        <family val="2"/>
      </rPr>
      <t>t</t>
    </r>
  </si>
  <si>
    <r>
      <t>TSAI</t>
    </r>
    <r>
      <rPr>
        <vertAlign val="subscript"/>
        <sz val="10"/>
        <rFont val="Verdana"/>
        <family val="2"/>
      </rPr>
      <t>t</t>
    </r>
  </si>
  <si>
    <r>
      <t>BR</t>
    </r>
    <r>
      <rPr>
        <b/>
        <vertAlign val="subscript"/>
        <sz val="10"/>
        <rFont val="Verdana"/>
        <family val="2"/>
      </rPr>
      <t>t</t>
    </r>
  </si>
  <si>
    <r>
      <t>TSAF</t>
    </r>
    <r>
      <rPr>
        <i/>
        <vertAlign val="subscript"/>
        <sz val="10"/>
        <rFont val="Verdana"/>
        <family val="2"/>
      </rPr>
      <t>y</t>
    </r>
  </si>
  <si>
    <r>
      <t>TSAC</t>
    </r>
    <r>
      <rPr>
        <i/>
        <vertAlign val="subscript"/>
        <sz val="10"/>
        <rFont val="Verdana"/>
        <family val="2"/>
      </rPr>
      <t>y</t>
    </r>
  </si>
  <si>
    <r>
      <t>TSAP</t>
    </r>
    <r>
      <rPr>
        <vertAlign val="subscript"/>
        <sz val="10"/>
        <rFont val="Verdana"/>
        <family val="2"/>
      </rPr>
      <t>t</t>
    </r>
  </si>
  <si>
    <r>
      <t>PR</t>
    </r>
    <r>
      <rPr>
        <vertAlign val="subscript"/>
        <sz val="10"/>
        <rFont val="Verdana"/>
        <family val="2"/>
      </rPr>
      <t>t</t>
    </r>
  </si>
  <si>
    <r>
      <t>RIT</t>
    </r>
    <r>
      <rPr>
        <vertAlign val="subscript"/>
        <sz val="10"/>
        <rFont val="Verdana"/>
        <family val="2"/>
      </rPr>
      <t>t</t>
    </r>
  </si>
  <si>
    <r>
      <t>ICA</t>
    </r>
    <r>
      <rPr>
        <vertAlign val="subscript"/>
        <sz val="10"/>
        <rFont val="Verdana"/>
        <family val="2"/>
      </rPr>
      <t>t</t>
    </r>
  </si>
  <si>
    <r>
      <t>RIT</t>
    </r>
    <r>
      <rPr>
        <i/>
        <vertAlign val="subscript"/>
        <sz val="10"/>
        <rFont val="Verdana"/>
        <family val="2"/>
      </rPr>
      <t>t</t>
    </r>
    <r>
      <rPr>
        <i/>
        <sz val="10"/>
        <rFont val="Verdana"/>
        <family val="2"/>
      </rPr>
      <t xml:space="preserve"> = ( 1 + RPI</t>
    </r>
    <r>
      <rPr>
        <i/>
        <vertAlign val="subscript"/>
        <sz val="10"/>
        <rFont val="Verdana"/>
        <family val="2"/>
      </rPr>
      <t>t</t>
    </r>
    <r>
      <rPr>
        <i/>
        <sz val="10"/>
        <rFont val="Verdana"/>
        <family val="2"/>
      </rPr>
      <t>) x RIT</t>
    </r>
    <r>
      <rPr>
        <i/>
        <vertAlign val="subscript"/>
        <sz val="10"/>
        <rFont val="Verdana"/>
        <family val="2"/>
      </rPr>
      <t>t-1</t>
    </r>
  </si>
  <si>
    <r>
      <t>RPI</t>
    </r>
    <r>
      <rPr>
        <i/>
        <vertAlign val="subscript"/>
        <sz val="10"/>
        <rFont val="Verdana"/>
        <family val="2"/>
      </rPr>
      <t>t</t>
    </r>
  </si>
  <si>
    <r>
      <t>ICUA</t>
    </r>
    <r>
      <rPr>
        <i/>
        <vertAlign val="subscript"/>
        <sz val="10"/>
        <rFont val="Verdana"/>
        <family val="2"/>
      </rPr>
      <t>t</t>
    </r>
  </si>
  <si>
    <r>
      <t>PT</t>
    </r>
    <r>
      <rPr>
        <b/>
        <vertAlign val="subscript"/>
        <sz val="10"/>
        <rFont val="Verdana"/>
        <family val="2"/>
      </rPr>
      <t>t</t>
    </r>
  </si>
  <si>
    <r>
      <t>LF</t>
    </r>
    <r>
      <rPr>
        <vertAlign val="subscript"/>
        <sz val="10"/>
        <rFont val="Verdana"/>
        <family val="2"/>
      </rPr>
      <t>t</t>
    </r>
  </si>
  <si>
    <r>
      <t>RB</t>
    </r>
    <r>
      <rPr>
        <vertAlign val="subscript"/>
        <sz val="10"/>
        <rFont val="Verdana"/>
        <family val="2"/>
      </rPr>
      <t>t</t>
    </r>
  </si>
  <si>
    <r>
      <t>CEL</t>
    </r>
    <r>
      <rPr>
        <vertAlign val="subscript"/>
        <sz val="10"/>
        <rFont val="Verdana"/>
        <family val="2"/>
      </rPr>
      <t>t</t>
    </r>
  </si>
  <si>
    <r>
      <t>ICU</t>
    </r>
    <r>
      <rPr>
        <i/>
        <vertAlign val="subscript"/>
        <sz val="10"/>
        <rFont val="Verdana"/>
        <family val="2"/>
      </rPr>
      <t>t</t>
    </r>
  </si>
  <si>
    <r>
      <t>DC</t>
    </r>
    <r>
      <rPr>
        <vertAlign val="subscript"/>
        <sz val="10"/>
        <rFont val="Verdana"/>
        <family val="2"/>
      </rPr>
      <t>t</t>
    </r>
  </si>
  <si>
    <r>
      <t>ACA</t>
    </r>
    <r>
      <rPr>
        <i/>
        <vertAlign val="subscript"/>
        <sz val="10"/>
        <rFont val="Verdana"/>
        <family val="2"/>
      </rPr>
      <t>t</t>
    </r>
  </si>
  <si>
    <r>
      <t>IAT</t>
    </r>
    <r>
      <rPr>
        <vertAlign val="subscript"/>
        <sz val="10"/>
        <rFont val="Verdana"/>
        <family val="2"/>
      </rPr>
      <t>t</t>
    </r>
  </si>
  <si>
    <r>
      <t>MCA</t>
    </r>
    <r>
      <rPr>
        <vertAlign val="subscript"/>
        <sz val="10"/>
        <rFont val="Verdana"/>
        <family val="2"/>
      </rPr>
      <t>t</t>
    </r>
  </si>
  <si>
    <r>
      <t>K</t>
    </r>
    <r>
      <rPr>
        <b/>
        <vertAlign val="subscript"/>
        <sz val="10"/>
        <rFont val="Verdana"/>
        <family val="2"/>
      </rPr>
      <t>t</t>
    </r>
  </si>
  <si>
    <r>
      <t>TCA</t>
    </r>
    <r>
      <rPr>
        <vertAlign val="subscript"/>
        <sz val="10"/>
        <rFont val="Verdana"/>
        <family val="2"/>
      </rPr>
      <t>t</t>
    </r>
  </si>
  <si>
    <r>
      <t>K</t>
    </r>
    <r>
      <rPr>
        <i/>
        <vertAlign val="subscript"/>
        <sz val="10"/>
        <color theme="1"/>
        <rFont val="Verdana"/>
        <family val="2"/>
      </rPr>
      <t>t</t>
    </r>
    <r>
      <rPr>
        <i/>
        <sz val="10"/>
        <color theme="1"/>
        <rFont val="Verdana"/>
        <family val="2"/>
      </rPr>
      <t xml:space="preserve"> = (AR</t>
    </r>
    <r>
      <rPr>
        <i/>
        <vertAlign val="subscript"/>
        <sz val="10"/>
        <color theme="1"/>
        <rFont val="Verdana"/>
        <family val="2"/>
      </rPr>
      <t>t-1</t>
    </r>
    <r>
      <rPr>
        <i/>
        <sz val="10"/>
        <color theme="1"/>
        <rFont val="Verdana"/>
        <family val="2"/>
      </rPr>
      <t xml:space="preserve"> - OFTO</t>
    </r>
    <r>
      <rPr>
        <i/>
        <vertAlign val="subscript"/>
        <sz val="10"/>
        <color theme="1"/>
        <rFont val="Verdana"/>
        <family val="2"/>
      </rPr>
      <t>t-1</t>
    </r>
    <r>
      <rPr>
        <i/>
        <sz val="10"/>
        <color theme="1"/>
        <rFont val="Verdana"/>
        <family val="2"/>
      </rPr>
      <t>) x ( 1 + (I</t>
    </r>
    <r>
      <rPr>
        <i/>
        <vertAlign val="subscript"/>
        <sz val="10"/>
        <color theme="1"/>
        <rFont val="Verdana"/>
        <family val="2"/>
      </rPr>
      <t>t</t>
    </r>
    <r>
      <rPr>
        <i/>
        <sz val="10"/>
        <color theme="1"/>
        <rFont val="Verdana"/>
        <family val="2"/>
      </rPr>
      <t xml:space="preserve"> + (PI</t>
    </r>
    <r>
      <rPr>
        <i/>
        <vertAlign val="subscript"/>
        <sz val="10"/>
        <color theme="1"/>
        <rFont val="Verdana"/>
        <family val="2"/>
      </rPr>
      <t>t</t>
    </r>
    <r>
      <rPr>
        <i/>
        <sz val="10"/>
        <color theme="1"/>
        <rFont val="Verdana"/>
        <family val="2"/>
      </rPr>
      <t xml:space="preserve"> x APt) / 100 )</t>
    </r>
  </si>
  <si>
    <r>
      <t>TPD</t>
    </r>
    <r>
      <rPr>
        <vertAlign val="subscript"/>
        <sz val="10"/>
        <rFont val="Verdana"/>
        <family val="2"/>
      </rPr>
      <t>t</t>
    </r>
  </si>
  <si>
    <r>
      <t>AR</t>
    </r>
    <r>
      <rPr>
        <vertAlign val="subscript"/>
        <sz val="10"/>
        <rFont val="Verdana"/>
        <family val="2"/>
      </rPr>
      <t>t</t>
    </r>
  </si>
  <si>
    <r>
      <t>OFTO</t>
    </r>
    <r>
      <rPr>
        <vertAlign val="subscript"/>
        <sz val="10"/>
        <rFont val="Verdana"/>
        <family val="2"/>
      </rPr>
      <t>t</t>
    </r>
  </si>
  <si>
    <r>
      <t>I</t>
    </r>
    <r>
      <rPr>
        <vertAlign val="subscript"/>
        <sz val="10"/>
        <rFont val="Verdana"/>
        <family val="2"/>
      </rPr>
      <t>t</t>
    </r>
  </si>
  <si>
    <r>
      <t>PI</t>
    </r>
    <r>
      <rPr>
        <vertAlign val="subscript"/>
        <sz val="10"/>
        <rFont val="Verdana"/>
        <family val="2"/>
      </rPr>
      <t>t</t>
    </r>
  </si>
  <si>
    <r>
      <t>Tender Revenue Bid (TRS</t>
    </r>
    <r>
      <rPr>
        <b/>
        <sz val="8"/>
        <rFont val="Verdana"/>
        <family val="2"/>
      </rPr>
      <t>t</t>
    </r>
    <r>
      <rPr>
        <b/>
        <sz val="10"/>
        <rFont val="Verdana"/>
        <family val="2"/>
      </rPr>
      <t>)</t>
    </r>
  </si>
  <si>
    <r>
      <t>AVCOL</t>
    </r>
    <r>
      <rPr>
        <vertAlign val="subscript"/>
        <sz val="10"/>
        <rFont val="Verdana"/>
        <family val="2"/>
      </rPr>
      <t>y</t>
    </r>
  </si>
  <si>
    <r>
      <t>TSPP</t>
    </r>
    <r>
      <rPr>
        <vertAlign val="subscript"/>
        <sz val="10"/>
        <rFont val="Verdana"/>
        <family val="2"/>
      </rPr>
      <t>y</t>
    </r>
  </si>
  <si>
    <r>
      <t>TSPC</t>
    </r>
    <r>
      <rPr>
        <vertAlign val="subscript"/>
        <sz val="10"/>
        <rFont val="Verdana"/>
        <family val="2"/>
      </rPr>
      <t>y</t>
    </r>
  </si>
  <si>
    <r>
      <t>TSAF</t>
    </r>
    <r>
      <rPr>
        <vertAlign val="subscript"/>
        <sz val="10"/>
        <rFont val="Verdana"/>
        <family val="2"/>
      </rPr>
      <t>y</t>
    </r>
  </si>
  <si>
    <r>
      <t>TSAC</t>
    </r>
    <r>
      <rPr>
        <vertAlign val="subscript"/>
        <sz val="10"/>
        <rFont val="Verdana"/>
        <family val="2"/>
      </rPr>
      <t>y</t>
    </r>
  </si>
  <si>
    <r>
      <t>TSIR</t>
    </r>
    <r>
      <rPr>
        <vertAlign val="subscript"/>
        <sz val="10"/>
        <rFont val="Verdana"/>
        <family val="2"/>
      </rPr>
      <t>i</t>
    </r>
  </si>
  <si>
    <r>
      <t>K</t>
    </r>
    <r>
      <rPr>
        <i/>
        <vertAlign val="subscript"/>
        <sz val="10"/>
        <rFont val="Verdana"/>
        <family val="2"/>
      </rPr>
      <t>t</t>
    </r>
    <r>
      <rPr>
        <i/>
        <sz val="10"/>
        <rFont val="Verdana"/>
        <family val="2"/>
      </rPr>
      <t xml:space="preserve"> = (AR</t>
    </r>
    <r>
      <rPr>
        <i/>
        <vertAlign val="subscript"/>
        <sz val="10"/>
        <rFont val="Verdana"/>
        <family val="2"/>
      </rPr>
      <t>t-1</t>
    </r>
    <r>
      <rPr>
        <i/>
        <sz val="10"/>
        <rFont val="Verdana"/>
        <family val="2"/>
      </rPr>
      <t xml:space="preserve"> - OFTO</t>
    </r>
    <r>
      <rPr>
        <i/>
        <vertAlign val="subscript"/>
        <sz val="10"/>
        <rFont val="Verdana"/>
        <family val="2"/>
      </rPr>
      <t>t-1</t>
    </r>
    <r>
      <rPr>
        <i/>
        <sz val="10"/>
        <rFont val="Verdana"/>
        <family val="2"/>
      </rPr>
      <t>) x ( 1 + (I</t>
    </r>
    <r>
      <rPr>
        <i/>
        <vertAlign val="subscript"/>
        <sz val="10"/>
        <rFont val="Verdana"/>
        <family val="2"/>
      </rPr>
      <t>t</t>
    </r>
    <r>
      <rPr>
        <i/>
        <sz val="10"/>
        <rFont val="Verdana"/>
        <family val="2"/>
      </rPr>
      <t xml:space="preserve"> + PI</t>
    </r>
    <r>
      <rPr>
        <i/>
        <vertAlign val="subscript"/>
        <sz val="10"/>
        <rFont val="Verdana"/>
        <family val="2"/>
      </rPr>
      <t>t</t>
    </r>
    <r>
      <rPr>
        <i/>
        <sz val="10"/>
        <rFont val="Verdana"/>
        <family val="2"/>
      </rPr>
      <t>) / 100 )</t>
    </r>
  </si>
  <si>
    <r>
      <t>BR</t>
    </r>
    <r>
      <rPr>
        <vertAlign val="subscript"/>
        <sz val="10"/>
        <rFont val="Verdana"/>
        <family val="2"/>
      </rPr>
      <t>t</t>
    </r>
  </si>
  <si>
    <r>
      <t>BR</t>
    </r>
    <r>
      <rPr>
        <i/>
        <vertAlign val="subscript"/>
        <sz val="10"/>
        <color theme="1"/>
        <rFont val="Verdana"/>
        <family val="2"/>
      </rPr>
      <t>t</t>
    </r>
    <r>
      <rPr>
        <i/>
        <sz val="10"/>
        <color theme="1"/>
        <rFont val="Verdana"/>
        <family val="2"/>
      </rPr>
      <t>=(TRSt + MRAt + PTRAt ) x PR</t>
    </r>
    <r>
      <rPr>
        <i/>
        <vertAlign val="subscript"/>
        <sz val="10"/>
        <color theme="1"/>
        <rFont val="Verdana"/>
        <family val="2"/>
      </rPr>
      <t xml:space="preserve">t </t>
    </r>
    <r>
      <rPr>
        <i/>
        <sz val="10"/>
        <color theme="1"/>
        <rFont val="Verdana"/>
        <family val="2"/>
      </rPr>
      <t>x RIT</t>
    </r>
    <r>
      <rPr>
        <i/>
        <vertAlign val="subscript"/>
        <sz val="10"/>
        <color theme="1"/>
        <rFont val="Verdana"/>
        <family val="2"/>
      </rPr>
      <t>t</t>
    </r>
  </si>
  <si>
    <r>
      <t>PT</t>
    </r>
    <r>
      <rPr>
        <i/>
        <vertAlign val="subscript"/>
        <sz val="10"/>
        <color theme="1"/>
        <rFont val="Verdana"/>
        <family val="2"/>
      </rPr>
      <t>t</t>
    </r>
    <r>
      <rPr>
        <i/>
        <sz val="10"/>
        <color theme="1"/>
        <rFont val="Verdana"/>
        <family val="2"/>
      </rPr>
      <t xml:space="preserve"> = LF</t>
    </r>
    <r>
      <rPr>
        <i/>
        <vertAlign val="subscript"/>
        <sz val="10"/>
        <color theme="1"/>
        <rFont val="Verdana"/>
        <family val="2"/>
      </rPr>
      <t>t</t>
    </r>
    <r>
      <rPr>
        <i/>
        <sz val="10"/>
        <color theme="1"/>
        <rFont val="Verdana"/>
        <family val="2"/>
      </rPr>
      <t xml:space="preserve"> + RB</t>
    </r>
    <r>
      <rPr>
        <i/>
        <vertAlign val="subscript"/>
        <sz val="10"/>
        <color theme="1"/>
        <rFont val="Verdana"/>
        <family val="2"/>
      </rPr>
      <t>t</t>
    </r>
    <r>
      <rPr>
        <i/>
        <sz val="10"/>
        <color theme="1"/>
        <rFont val="Verdana"/>
        <family val="2"/>
      </rPr>
      <t xml:space="preserve"> + CEL</t>
    </r>
    <r>
      <rPr>
        <i/>
        <vertAlign val="subscript"/>
        <sz val="10"/>
        <color theme="1"/>
        <rFont val="Verdana"/>
        <family val="2"/>
      </rPr>
      <t>t</t>
    </r>
    <r>
      <rPr>
        <i/>
        <sz val="10"/>
        <color theme="1"/>
        <rFont val="Verdana"/>
        <family val="2"/>
      </rPr>
      <t xml:space="preserve"> + DC</t>
    </r>
    <r>
      <rPr>
        <i/>
        <vertAlign val="subscript"/>
        <sz val="10"/>
        <color theme="1"/>
        <rFont val="Verdana"/>
        <family val="2"/>
      </rPr>
      <t>t</t>
    </r>
    <r>
      <rPr>
        <i/>
        <sz val="10"/>
        <color theme="1"/>
        <rFont val="Verdana"/>
        <family val="2"/>
      </rPr>
      <t xml:space="preserve"> + IATt + MCAt + TCAt + TPDt </t>
    </r>
  </si>
  <si>
    <r>
      <t>RPI</t>
    </r>
    <r>
      <rPr>
        <i/>
        <vertAlign val="subscript"/>
        <sz val="10"/>
        <rFont val="Verdana"/>
        <family val="2"/>
      </rPr>
      <t>t</t>
    </r>
    <r>
      <rPr>
        <i/>
        <sz val="10"/>
        <rFont val="Verdana"/>
        <family val="2"/>
      </rPr>
      <t xml:space="preserve"> = ( Indext/Index t-1)-1</t>
    </r>
  </si>
  <si>
    <r>
      <rPr>
        <b/>
        <sz val="14"/>
        <color theme="1"/>
        <rFont val="Verdana"/>
        <family val="2"/>
      </rPr>
      <t>Declaration</t>
    </r>
    <r>
      <rPr>
        <sz val="10"/>
        <rFont val="Verdana"/>
        <family val="2"/>
      </rPr>
      <t xml:space="preserve">
</t>
    </r>
    <r>
      <rPr>
        <i/>
        <sz val="10"/>
        <color theme="1"/>
        <rFont val="Verdana"/>
        <family val="2"/>
      </rPr>
      <t>The below declaration is to be signed off by a director of the licensee.</t>
    </r>
    <r>
      <rPr>
        <sz val="10"/>
        <rFont val="Verdana"/>
        <family val="2"/>
      </rPr>
      <t xml:space="preserve">
</t>
    </r>
  </si>
  <si>
    <r>
      <t>PT</t>
    </r>
    <r>
      <rPr>
        <vertAlign val="subscript"/>
        <sz val="10"/>
        <rFont val="Verdana"/>
        <family val="2"/>
      </rPr>
      <t>t</t>
    </r>
  </si>
  <si>
    <r>
      <t>PA</t>
    </r>
    <r>
      <rPr>
        <vertAlign val="subscript"/>
        <sz val="10"/>
        <rFont val="Verdana"/>
        <family val="2"/>
      </rPr>
      <t>t</t>
    </r>
  </si>
  <si>
    <r>
      <t>K</t>
    </r>
    <r>
      <rPr>
        <vertAlign val="subscript"/>
        <sz val="10"/>
        <rFont val="Verdana"/>
        <family val="2"/>
      </rPr>
      <t>t</t>
    </r>
  </si>
  <si>
    <t>1. Inputs</t>
  </si>
  <si>
    <t>2a. Components of allowed revenue</t>
  </si>
  <si>
    <t>2b. Base revenue</t>
  </si>
  <si>
    <t>2c. Pass through</t>
  </si>
  <si>
    <t>2d. Availability performance</t>
  </si>
  <si>
    <t>2e. Correction factor</t>
  </si>
  <si>
    <t>2f. Summary of all components of allowed revenue</t>
  </si>
  <si>
    <t>3a. Excluded and de minimis revenue</t>
  </si>
  <si>
    <t>3b. Total revenue (including excluded services)</t>
  </si>
  <si>
    <t>3c. Reconciliation between OFTO's Regulated Revenue and Allowed Revenue (ARt)</t>
  </si>
  <si>
    <t>4a. Monthly performance incentive calculations</t>
  </si>
  <si>
    <t xml:space="preserve">4b. Annual performance incentive calculations </t>
  </si>
  <si>
    <t>5a. Planned outages</t>
  </si>
  <si>
    <t>5b. Unplanned outages</t>
  </si>
  <si>
    <t>5c. Outages the OFTO has requested be exlcuded from availability incentive calculation</t>
  </si>
  <si>
    <t xml:space="preserve">6. Basis for TRSt </t>
  </si>
  <si>
    <t>7. Summary of forecast allowed revenue</t>
  </si>
  <si>
    <t xml:space="preserve">8. Transmission System Availability Payment </t>
  </si>
  <si>
    <t>Index</t>
  </si>
  <si>
    <t>Company number:</t>
  </si>
  <si>
    <t>Company name:</t>
  </si>
  <si>
    <t>Company short name:</t>
  </si>
  <si>
    <t>OFTO1</t>
  </si>
  <si>
    <t>Demo sands</t>
  </si>
  <si>
    <t>Reporting year: (enter 2011 for 2010/11)</t>
  </si>
  <si>
    <t>Version (number):</t>
  </si>
  <si>
    <t>Submitted date:</t>
  </si>
  <si>
    <t>Date to which last statutory accounts were made up:</t>
  </si>
  <si>
    <t>Universal data</t>
  </si>
  <si>
    <t>Correction term factor for revenue year to year (£m)</t>
  </si>
  <si>
    <t>Correction term (£m)</t>
  </si>
  <si>
    <t>Check that reconciliation works</t>
  </si>
  <si>
    <t>Other reconciling items (including all other revenue from transmission services)</t>
  </si>
  <si>
    <t>Prepared by:</t>
  </si>
  <si>
    <t>Name of preparer</t>
  </si>
  <si>
    <t>Reviewed by:</t>
  </si>
  <si>
    <t>Name of reviewer</t>
  </si>
  <si>
    <t>5YCMy-1 + TSPCy-5 
+ TSPPy - PPROy-1 
- 5YPLy-1 - PAPCy-1</t>
  </si>
  <si>
    <t>Prepared by</t>
  </si>
  <si>
    <t>Reviewed by</t>
  </si>
  <si>
    <t>Proportion of Revenue (t-6)</t>
  </si>
  <si>
    <r>
      <t>PR</t>
    </r>
    <r>
      <rPr>
        <vertAlign val="subscript"/>
        <sz val="10"/>
        <rFont val="Verdana"/>
        <family val="2"/>
      </rPr>
      <t>t-6</t>
    </r>
  </si>
  <si>
    <t>ACE</t>
  </si>
  <si>
    <t>APE</t>
  </si>
  <si>
    <t>APAPE</t>
  </si>
  <si>
    <t>TSIR</t>
  </si>
  <si>
    <t>TSIT</t>
  </si>
  <si>
    <t>RSIP</t>
  </si>
  <si>
    <t>MTSA</t>
  </si>
  <si>
    <r>
      <t>TSIT</t>
    </r>
    <r>
      <rPr>
        <vertAlign val="subscript"/>
        <sz val="10"/>
        <rFont val="Verdana"/>
        <family val="2"/>
      </rPr>
      <t>i</t>
    </r>
  </si>
  <si>
    <t>Maximum Transmission System Availability (MWhr)</t>
  </si>
  <si>
    <t>Reported System Incentive Performance (MWhr)</t>
  </si>
  <si>
    <t>Unplanned Outage
(MWhrs)</t>
  </si>
  <si>
    <t>Planned maintenance (MWhrs)</t>
  </si>
  <si>
    <t>Cable availability (as % of maximum)</t>
  </si>
  <si>
    <t>ICAt = ICUAt + (ACAt * RITt)</t>
  </si>
  <si>
    <t>ICUAIt = MAX(0, ICRDt x ICUt)</t>
  </si>
  <si>
    <t>Actual</t>
  </si>
  <si>
    <t>Forecast</t>
  </si>
  <si>
    <t>[Offshore transmission operator 1]</t>
  </si>
  <si>
    <t>Amended Standard Condition E12 - D1 of the Offshore Transmission Licence paragraph 3 requires (amongst other things) that the licensee establish and maintain such systems and processes as necessary to ensure that 'the information collected and reported to the Authority is in all material respects accurate and complete and is fairly presented' and prepared in accordance with the regulatory instructions and guidance.</t>
  </si>
  <si>
    <r>
      <t xml:space="preserve">Disclaimer
</t>
    </r>
    <r>
      <rPr>
        <sz val="10"/>
        <rFont val="Verdana"/>
        <family val="2"/>
      </rPr>
      <t>Note:  In the event of any inconsistency, the licence conditions and then the RIGs take precedence.</t>
    </r>
    <r>
      <rPr>
        <b/>
        <sz val="10"/>
        <rFont val="Verdana"/>
        <family val="2"/>
      </rPr>
      <t xml:space="preserve"> </t>
    </r>
    <r>
      <rPr>
        <sz val="10"/>
        <rFont val="Verdana"/>
        <family val="2"/>
      </rPr>
      <t>This model is provided to facilitate revenue reporting by the licensee with the expectation that any identified inconsistencies with any offshore transmission licence condition must be promptly notified to the Authority.</t>
    </r>
  </si>
  <si>
    <t>Initial version published for consultation</t>
  </si>
  <si>
    <r>
      <t xml:space="preserve">Guidance
</t>
    </r>
    <r>
      <rPr>
        <sz val="10"/>
        <rFont val="Verdana"/>
        <family val="2"/>
      </rPr>
      <t>The tables in this cost reporting pack are to be completed as described in the associated regulatory instructions and guidance (RIGs).
All monetary amounts are to be reported in £m and to three decimal places.
All percentages are to be reported to two decimal places.
All MW quantities are to be reported to one decimal place.
This workbook uses the convention that '2011' refers to the year ending 31st March 2011.</t>
    </r>
  </si>
  <si>
    <t>Total reduction in capacity (MWhr)</t>
  </si>
  <si>
    <t>MVCOL</t>
  </si>
  <si>
    <t>Date &amp; time outage starts</t>
  </si>
  <si>
    <r>
      <t>3c. Reconciliation between OFTO's total revenue and Allowed Revenue (OFTO</t>
    </r>
    <r>
      <rPr>
        <vertAlign val="subscript"/>
        <sz val="14"/>
        <rFont val="Verdana"/>
        <family val="2"/>
      </rPr>
      <t>t</t>
    </r>
    <r>
      <rPr>
        <sz val="14"/>
        <rFont val="Verdana"/>
        <family val="2"/>
      </rPr>
      <t>)</t>
    </r>
  </si>
  <si>
    <r>
      <t>Actual revenue (AR</t>
    </r>
    <r>
      <rPr>
        <b/>
        <vertAlign val="subscript"/>
        <sz val="10"/>
        <rFont val="Verdana"/>
        <family val="2"/>
      </rPr>
      <t>t</t>
    </r>
    <r>
      <rPr>
        <b/>
        <sz val="10"/>
        <rFont val="Verdana"/>
        <family val="2"/>
      </rPr>
      <t>)</t>
    </r>
  </si>
  <si>
    <t>Excluded services</t>
  </si>
  <si>
    <t>Other revenue items (prior year)</t>
  </si>
  <si>
    <t>Turnover as per Profit and Loss
(Prior year)</t>
  </si>
  <si>
    <t>Final version published (errors corrected)</t>
  </si>
  <si>
    <r>
      <t>OFTO</t>
    </r>
    <r>
      <rPr>
        <i/>
        <vertAlign val="subscript"/>
        <sz val="10"/>
        <rFont val="Verdana"/>
        <family val="2"/>
      </rPr>
      <t>t</t>
    </r>
    <r>
      <rPr>
        <i/>
        <sz val="10"/>
        <rFont val="Verdana"/>
        <family val="2"/>
      </rPr>
      <t xml:space="preserve"> = BR</t>
    </r>
    <r>
      <rPr>
        <i/>
        <vertAlign val="subscript"/>
        <sz val="10"/>
        <rFont val="Verdana"/>
        <family val="2"/>
      </rPr>
      <t>t</t>
    </r>
    <r>
      <rPr>
        <i/>
        <sz val="10"/>
        <rFont val="Verdana"/>
        <family val="2"/>
      </rPr>
      <t xml:space="preserve"> + PT</t>
    </r>
    <r>
      <rPr>
        <i/>
        <vertAlign val="subscript"/>
        <sz val="10"/>
        <rFont val="Verdana"/>
        <family val="2"/>
      </rPr>
      <t>t</t>
    </r>
    <r>
      <rPr>
        <i/>
        <sz val="10"/>
        <rFont val="Verdana"/>
        <family val="2"/>
      </rPr>
      <t xml:space="preserve"> + PA</t>
    </r>
    <r>
      <rPr>
        <i/>
        <vertAlign val="subscript"/>
        <sz val="10"/>
        <rFont val="Verdana"/>
        <family val="2"/>
      </rPr>
      <t>t</t>
    </r>
    <r>
      <rPr>
        <i/>
        <sz val="10"/>
        <rFont val="Verdana"/>
        <family val="2"/>
      </rPr>
      <t xml:space="preserve"> - K</t>
    </r>
    <r>
      <rPr>
        <i/>
        <vertAlign val="subscript"/>
        <sz val="10"/>
        <rFont val="Verdana"/>
        <family val="2"/>
      </rPr>
      <t>t</t>
    </r>
  </si>
  <si>
    <t>Maximum operational days in month</t>
  </si>
  <si>
    <t>Offshore Transmission Owner allowed revenue (£m)</t>
  </si>
  <si>
    <t xml:space="preserve">PAt = TSAIt + TSAPt + ICAt </t>
  </si>
  <si>
    <r>
      <t>BR</t>
    </r>
    <r>
      <rPr>
        <i/>
        <vertAlign val="subscript"/>
        <sz val="10"/>
        <rFont val="Verdana"/>
        <family val="2"/>
      </rPr>
      <t>t</t>
    </r>
    <r>
      <rPr>
        <i/>
        <sz val="10"/>
        <rFont val="Verdana"/>
        <family val="2"/>
      </rPr>
      <t>=(TRS + MRA + PTRA) x PR</t>
    </r>
    <r>
      <rPr>
        <i/>
        <vertAlign val="subscript"/>
        <sz val="10"/>
        <rFont val="Verdana"/>
        <family val="2"/>
      </rPr>
      <t xml:space="preserve">t </t>
    </r>
    <r>
      <rPr>
        <i/>
        <sz val="10"/>
        <rFont val="Verdana"/>
        <family val="2"/>
      </rPr>
      <t>x RIT</t>
    </r>
    <r>
      <rPr>
        <i/>
        <vertAlign val="subscript"/>
        <sz val="10"/>
        <rFont val="Verdana"/>
        <family val="2"/>
      </rPr>
      <t>t</t>
    </r>
  </si>
  <si>
    <t>ICAt = ICUAt + (ACAt x RITt)</t>
  </si>
  <si>
    <t>Incremental Capacity Utilisation term (kW)</t>
  </si>
  <si>
    <t>Year (y) (Incentive year)</t>
  </si>
  <si>
    <t>Updated version published for consultation (full list of changes in appendix 1)</t>
  </si>
  <si>
    <t>Over/(Under) Recovery  (£m)</t>
  </si>
  <si>
    <t>(Over/Under) Recovery (£m)</t>
  </si>
  <si>
    <r>
      <t>ICRD</t>
    </r>
    <r>
      <rPr>
        <i/>
        <vertAlign val="subscript"/>
        <sz val="10"/>
        <rFont val="Verdana"/>
        <family val="2"/>
      </rPr>
      <t>t</t>
    </r>
  </si>
  <si>
    <t>ICRDt = BRt / CCRt  x RCFt</t>
  </si>
  <si>
    <t xml:space="preserve">ICRDt = RCF x BRt / CCR </t>
  </si>
  <si>
    <t xml:space="preserve">Composite Circuit Rating </t>
  </si>
  <si>
    <t xml:space="preserve">ICRDt = RCF x BRt /CCR </t>
  </si>
  <si>
    <r>
      <t>(BR</t>
    </r>
    <r>
      <rPr>
        <vertAlign val="subscript"/>
        <sz val="10"/>
        <rFont val="Verdana"/>
        <family val="2"/>
      </rPr>
      <t>21</t>
    </r>
    <r>
      <rPr>
        <sz val="10"/>
        <rFont val="Verdana"/>
        <family val="2"/>
      </rPr>
      <t>/PR</t>
    </r>
    <r>
      <rPr>
        <vertAlign val="subscript"/>
        <sz val="10"/>
        <rFont val="Verdana"/>
        <family val="2"/>
      </rPr>
      <t>21</t>
    </r>
    <r>
      <rPr>
        <sz val="10"/>
        <rFont val="Verdana"/>
        <family val="2"/>
      </rPr>
      <t>) x TSAC</t>
    </r>
    <r>
      <rPr>
        <vertAlign val="subscript"/>
        <sz val="10"/>
        <rFont val="Verdana"/>
        <family val="2"/>
      </rPr>
      <t>y</t>
    </r>
    <r>
      <rPr>
        <sz val="10"/>
        <rFont val="Verdana"/>
        <family val="2"/>
      </rPr>
      <t xml:space="preserve"> x PR</t>
    </r>
    <r>
      <rPr>
        <vertAlign val="subscript"/>
        <sz val="10"/>
        <rFont val="Verdana"/>
        <family val="2"/>
      </rPr>
      <t>t-5</t>
    </r>
  </si>
  <si>
    <t>TSAP=Sumif(range=y, criteria=22 to 26, sum function=(BR21/PR21)xTSACy xPRt-5)</t>
  </si>
  <si>
    <t>Incremental capacity utilisation driver (£/MW)</t>
  </si>
  <si>
    <t>Composit Circuit Rating (MW)</t>
  </si>
  <si>
    <t>Incremental Capacity Revenue utilisation Driver (£/MW)</t>
  </si>
  <si>
    <t>Incremental Capacity Utilisation term (MW)</t>
  </si>
  <si>
    <t>Composite Circuit Rating (MW)</t>
  </si>
  <si>
    <r>
      <t xml:space="preserve">Requirement
</t>
    </r>
    <r>
      <rPr>
        <sz val="10"/>
        <rFont val="Verdana"/>
        <family val="2"/>
      </rPr>
      <t>This workbook comprises the templates for the revenue reporting pack referred to in paragraph 7</t>
    </r>
    <r>
      <rPr>
        <sz val="10"/>
        <rFont val="Verdana"/>
        <family val="2"/>
      </rPr>
      <t xml:space="preserve"> of amended standard condition E12 - D1: Offshore Regulatory Reporting.
Paragraph 7 of this licence condition requires this information to be provided to the Gas and Electricity Markets Authority (the "Authority") by no later than 31st July following the end of the relevant year to which the data relate.
Paragraph 8 of this licence condition requires the information reported in this revenue reporting pack to be accompanied by a report from the licensee's auditors addressed to the Authority.</t>
    </r>
  </si>
  <si>
    <t>Composite Circuit Rating (kVA)</t>
  </si>
  <si>
    <t>Updated for 2014 to include amendment to year headers formula, amend cell formats to show OFTO input rather than Ofgem and correct caluation of year on sheet 7. Update sheet 1 to show CCR units as kVA.</t>
  </si>
</sst>
</file>

<file path=xl/styles.xml><?xml version="1.0" encoding="utf-8"?>
<styleSheet xmlns="http://schemas.openxmlformats.org/spreadsheetml/2006/main">
  <numFmts count="13">
    <numFmt numFmtId="43" formatCode="_-* #,##0.00_-;\-* #,##0.00_-;_-* &quot;-&quot;??_-;_-@_-"/>
    <numFmt numFmtId="164" formatCode="0.0%"/>
    <numFmt numFmtId="165" formatCode="_-* #,##0.0_-;\-* #,##0.0_-;_-* &quot;-&quot;??_-;_-@_-"/>
    <numFmt numFmtId="166" formatCode="_-* #,##0_-;\-* #,##0_-;_-* &quot;-&quot;??_-;_-@_-"/>
    <numFmt numFmtId="167" formatCode="_-* #,##0.000_-;\-* #,##0.00000_-;_-* &quot;-&quot;??_-;_-@_-"/>
    <numFmt numFmtId="168" formatCode="_-* #,##0.000_-;\-* #,##0.000_-;_-* &quot;-&quot;??_-;_-@_-"/>
    <numFmt numFmtId="169" formatCode="_-* #,##0.00_-;* \(#,##0.00\)_-;_-* &quot;-&quot;??_-;_-@_-"/>
    <numFmt numFmtId="170" formatCode="_-* #,##0.000_-;[Red]* \(#,##0.000\)_-;_-* &quot;-&quot;??_-;_-@_-"/>
    <numFmt numFmtId="171" formatCode="[$-809]d\ mmmm\ yyyy;@"/>
    <numFmt numFmtId="172" formatCode="_-* #,##0.0_-;[Red]* \(#,##0.0\)_-;_-* &quot;-&quot;??_-;_-@_-"/>
    <numFmt numFmtId="173" formatCode="_-* #,##0.0_-;* \(#,##0.0\)_-;_-* &quot;-&quot;??_-;_-@_-"/>
    <numFmt numFmtId="174" formatCode="_-* #,##0.00_-;[Red]* \(#,##0.00\)_-;_-* &quot;-&quot;??_-;_-@_-"/>
    <numFmt numFmtId="175" formatCode="0.000"/>
  </numFmts>
  <fonts count="47">
    <font>
      <sz val="10"/>
      <name val="Times New Roman"/>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Times New Roman"/>
      <family val="1"/>
    </font>
    <font>
      <sz val="8"/>
      <name val="Times New Roman"/>
      <family val="1"/>
    </font>
    <font>
      <sz val="10"/>
      <name val="Times New Roman"/>
      <family val="1"/>
    </font>
    <font>
      <b/>
      <sz val="8"/>
      <color indexed="81"/>
      <name val="Tahoma"/>
      <family val="2"/>
    </font>
    <font>
      <sz val="8"/>
      <color indexed="81"/>
      <name val="Tahoma"/>
      <family val="2"/>
    </font>
    <font>
      <sz val="10"/>
      <name val="Verdana"/>
      <family val="2"/>
    </font>
    <font>
      <sz val="10"/>
      <name val="Arial"/>
      <family val="2"/>
    </font>
    <font>
      <sz val="10"/>
      <name val="Verdana"/>
      <family val="2"/>
    </font>
    <font>
      <sz val="10"/>
      <name val="CG Omega"/>
    </font>
    <font>
      <sz val="12"/>
      <name val="Helv"/>
    </font>
    <font>
      <sz val="10"/>
      <color rgb="FFFF0000"/>
      <name val="Verdana"/>
      <family val="2"/>
    </font>
    <font>
      <b/>
      <sz val="10"/>
      <color theme="1"/>
      <name val="Verdana"/>
      <family val="2"/>
    </font>
    <font>
      <sz val="11"/>
      <name val="Verdana"/>
      <family val="2"/>
    </font>
    <font>
      <b/>
      <sz val="16"/>
      <name val="Verdana"/>
      <family val="2"/>
    </font>
    <font>
      <b/>
      <sz val="11"/>
      <name val="Verdana"/>
      <family val="2"/>
    </font>
    <font>
      <b/>
      <sz val="18"/>
      <name val="Verdana"/>
      <family val="2"/>
    </font>
    <font>
      <b/>
      <sz val="18"/>
      <color indexed="9"/>
      <name val="Verdana"/>
      <family val="2"/>
    </font>
    <font>
      <b/>
      <sz val="14"/>
      <color theme="1"/>
      <name val="Verdana"/>
      <family val="2"/>
    </font>
    <font>
      <b/>
      <i/>
      <sz val="14"/>
      <name val="Verdana"/>
      <family val="2"/>
    </font>
    <font>
      <sz val="14"/>
      <name val="Verdana"/>
      <family val="2"/>
    </font>
    <font>
      <u/>
      <sz val="10"/>
      <color theme="10"/>
      <name val="Verdana"/>
      <family val="2"/>
    </font>
    <font>
      <sz val="14"/>
      <color theme="1"/>
      <name val="Verdana"/>
      <family val="2"/>
    </font>
    <font>
      <i/>
      <sz val="10"/>
      <color theme="1"/>
      <name val="Verdana"/>
      <family val="2"/>
    </font>
    <font>
      <b/>
      <sz val="10"/>
      <name val="Wingdings 2"/>
      <family val="1"/>
      <charset val="2"/>
    </font>
    <font>
      <vertAlign val="subscript"/>
      <sz val="10"/>
      <name val="Verdana"/>
      <family val="2"/>
    </font>
    <font>
      <i/>
      <sz val="10"/>
      <color indexed="10"/>
      <name val="Verdana"/>
      <family val="2"/>
    </font>
    <font>
      <b/>
      <sz val="10"/>
      <name val="Verdana"/>
      <family val="2"/>
    </font>
    <font>
      <b/>
      <vertAlign val="subscript"/>
      <sz val="10"/>
      <name val="Verdana"/>
      <family val="2"/>
    </font>
    <font>
      <i/>
      <sz val="10"/>
      <name val="Verdana"/>
      <family val="2"/>
    </font>
    <font>
      <i/>
      <vertAlign val="subscript"/>
      <sz val="10"/>
      <name val="Verdana"/>
      <family val="2"/>
    </font>
    <font>
      <sz val="10"/>
      <color rgb="FFFFFF00"/>
      <name val="Verdana"/>
      <family val="2"/>
    </font>
    <font>
      <i/>
      <vertAlign val="subscript"/>
      <sz val="10"/>
      <color theme="1"/>
      <name val="Verdana"/>
      <family val="2"/>
    </font>
    <font>
      <b/>
      <sz val="8"/>
      <name val="Verdana"/>
      <family val="2"/>
    </font>
    <font>
      <b/>
      <i/>
      <sz val="10"/>
      <name val="Verdana"/>
      <family val="2"/>
    </font>
    <font>
      <sz val="10"/>
      <color theme="0"/>
      <name val="Verdana"/>
      <family val="2"/>
    </font>
    <font>
      <sz val="8"/>
      <name val="Tahoma"/>
      <family val="2"/>
    </font>
    <font>
      <b/>
      <sz val="14"/>
      <name val="Verdana"/>
      <family val="2"/>
    </font>
    <font>
      <vertAlign val="subscript"/>
      <sz val="14"/>
      <name val="Verdana"/>
      <family val="2"/>
    </font>
    <font>
      <b/>
      <sz val="12"/>
      <name val="Verdana"/>
      <family val="2"/>
    </font>
  </fonts>
  <fills count="15">
    <fill>
      <patternFill patternType="none"/>
    </fill>
    <fill>
      <patternFill patternType="gray125"/>
    </fill>
    <fill>
      <patternFill patternType="solid">
        <fgColor indexed="53"/>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C0C0C0"/>
        <bgColor indexed="64"/>
      </patternFill>
    </fill>
    <fill>
      <patternFill patternType="solid">
        <fgColor rgb="FFFFFF99"/>
        <bgColor indexed="64"/>
      </patternFill>
    </fill>
    <fill>
      <patternFill patternType="solid">
        <fgColor rgb="FFFFCC99"/>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43" fontId="8" fillId="0" borderId="0" applyFont="0" applyFill="0" applyBorder="0" applyAlignment="0" applyProtection="0"/>
    <xf numFmtId="43" fontId="10" fillId="0" borderId="0" applyFont="0" applyFill="0" applyBorder="0" applyAlignment="0" applyProtection="0"/>
    <xf numFmtId="0" fontId="10" fillId="0" borderId="0"/>
    <xf numFmtId="0" fontId="13" fillId="0" borderId="0"/>
    <xf numFmtId="0" fontId="15" fillId="0" borderId="0"/>
    <xf numFmtId="9" fontId="8" fillId="0" borderId="0" applyFont="0" applyFill="0" applyBorder="0" applyAlignment="0" applyProtection="0"/>
    <xf numFmtId="9" fontId="10" fillId="0" borderId="0" applyFont="0" applyFill="0" applyBorder="0" applyAlignment="0" applyProtection="0"/>
    <xf numFmtId="0" fontId="16" fillId="0" borderId="0"/>
    <xf numFmtId="0" fontId="17" fillId="0" borderId="0"/>
    <xf numFmtId="0" fontId="7" fillId="0" borderId="0"/>
    <xf numFmtId="0" fontId="28" fillId="0" borderId="0" applyNumberFormat="0" applyFill="0" applyBorder="0" applyAlignment="0" applyProtection="0">
      <alignment vertical="top"/>
      <protection locked="0"/>
    </xf>
    <xf numFmtId="0" fontId="14" fillId="0" borderId="0"/>
  </cellStyleXfs>
  <cellXfs count="559">
    <xf numFmtId="0" fontId="0" fillId="0" borderId="0" xfId="0"/>
    <xf numFmtId="0" fontId="20" fillId="2" borderId="0" xfId="10" applyFont="1" applyFill="1" applyAlignment="1">
      <alignment vertical="center"/>
    </xf>
    <xf numFmtId="0" fontId="21" fillId="2" borderId="0" xfId="10" applyFont="1" applyFill="1" applyAlignment="1">
      <alignment vertical="center"/>
    </xf>
    <xf numFmtId="0" fontId="22" fillId="2" borderId="0" xfId="10" applyFont="1" applyFill="1" applyAlignment="1">
      <alignment vertical="center"/>
    </xf>
    <xf numFmtId="0" fontId="23" fillId="2" borderId="0" xfId="10" applyFont="1" applyFill="1" applyAlignment="1">
      <alignment vertical="center"/>
    </xf>
    <xf numFmtId="0" fontId="24" fillId="2" borderId="0" xfId="10" applyFont="1" applyFill="1" applyAlignment="1">
      <alignment vertical="center"/>
    </xf>
    <xf numFmtId="0" fontId="19" fillId="4" borderId="0" xfId="10" applyFont="1" applyFill="1" applyBorder="1" applyAlignment="1">
      <alignment horizontal="left" vertical="center"/>
    </xf>
    <xf numFmtId="0" fontId="20" fillId="4" borderId="2" xfId="10" applyFont="1" applyFill="1" applyBorder="1" applyAlignment="1">
      <alignment vertical="center"/>
    </xf>
    <xf numFmtId="0" fontId="20" fillId="4" borderId="3" xfId="10" applyFont="1" applyFill="1" applyBorder="1" applyAlignment="1">
      <alignment vertical="center"/>
    </xf>
    <xf numFmtId="0" fontId="20" fillId="4" borderId="4" xfId="10" applyFont="1" applyFill="1" applyBorder="1" applyAlignment="1">
      <alignment vertical="center"/>
    </xf>
    <xf numFmtId="0" fontId="26" fillId="4" borderId="5" xfId="10" applyFont="1" applyFill="1" applyBorder="1" applyAlignment="1">
      <alignment vertical="center"/>
    </xf>
    <xf numFmtId="0" fontId="20" fillId="4" borderId="0" xfId="10" applyFont="1" applyFill="1" applyBorder="1" applyAlignment="1">
      <alignment vertical="center"/>
    </xf>
    <xf numFmtId="0" fontId="20" fillId="4" borderId="6" xfId="10" applyFont="1" applyFill="1" applyBorder="1" applyAlignment="1">
      <alignment vertical="center"/>
    </xf>
    <xf numFmtId="0" fontId="27" fillId="3" borderId="1" xfId="10" applyFont="1" applyFill="1" applyBorder="1" applyAlignment="1">
      <alignment vertical="center"/>
    </xf>
    <xf numFmtId="0" fontId="27" fillId="4" borderId="0" xfId="10" applyFont="1" applyFill="1" applyBorder="1" applyAlignment="1">
      <alignment vertical="center"/>
    </xf>
    <xf numFmtId="0" fontId="13" fillId="4" borderId="0" xfId="10" applyFont="1" applyFill="1" applyBorder="1" applyAlignment="1">
      <alignment vertical="center"/>
    </xf>
    <xf numFmtId="0" fontId="27" fillId="4" borderId="6" xfId="10" applyFont="1" applyFill="1" applyBorder="1" applyAlignment="1">
      <alignment vertical="center"/>
    </xf>
    <xf numFmtId="0" fontId="20" fillId="4" borderId="5" xfId="10" applyFont="1" applyFill="1" applyBorder="1" applyAlignment="1">
      <alignment vertical="center"/>
    </xf>
    <xf numFmtId="0" fontId="27" fillId="6" borderId="1" xfId="10" applyFont="1" applyFill="1" applyBorder="1" applyAlignment="1">
      <alignment vertical="center"/>
    </xf>
    <xf numFmtId="0" fontId="27" fillId="7" borderId="1" xfId="10" applyFont="1" applyFill="1" applyBorder="1" applyAlignment="1">
      <alignment vertical="center"/>
    </xf>
    <xf numFmtId="0" fontId="27" fillId="8" borderId="1" xfId="10" applyFont="1" applyFill="1" applyBorder="1" applyAlignment="1">
      <alignment vertical="center"/>
    </xf>
    <xf numFmtId="0" fontId="27" fillId="9" borderId="1" xfId="10" applyFont="1" applyFill="1" applyBorder="1" applyAlignment="1">
      <alignment vertical="center"/>
    </xf>
    <xf numFmtId="0" fontId="27" fillId="10" borderId="1" xfId="10" applyFont="1" applyFill="1" applyBorder="1" applyAlignment="1">
      <alignment vertical="center"/>
    </xf>
    <xf numFmtId="0" fontId="20" fillId="4" borderId="7" xfId="10" applyFont="1" applyFill="1" applyBorder="1" applyAlignment="1">
      <alignment vertical="center"/>
    </xf>
    <xf numFmtId="0" fontId="20" fillId="4" borderId="8" xfId="10" applyFont="1" applyFill="1" applyBorder="1" applyAlignment="1">
      <alignment vertical="center"/>
    </xf>
    <xf numFmtId="0" fontId="20" fillId="4" borderId="9" xfId="10" applyFont="1" applyFill="1" applyBorder="1" applyAlignment="1">
      <alignment vertical="center"/>
    </xf>
    <xf numFmtId="0" fontId="28" fillId="4" borderId="0" xfId="11" applyFill="1" applyAlignment="1" applyProtection="1">
      <alignment vertical="center"/>
    </xf>
    <xf numFmtId="0" fontId="28" fillId="4" borderId="0" xfId="11" applyFill="1" applyAlignment="1" applyProtection="1"/>
    <xf numFmtId="0" fontId="13" fillId="4" borderId="0" xfId="0" applyFont="1" applyFill="1"/>
    <xf numFmtId="0" fontId="18" fillId="4" borderId="0" xfId="0" applyFont="1" applyFill="1"/>
    <xf numFmtId="0" fontId="13" fillId="4" borderId="0" xfId="0" applyFont="1" applyFill="1" applyBorder="1"/>
    <xf numFmtId="166" fontId="13" fillId="4" borderId="0" xfId="0" applyNumberFormat="1" applyFont="1" applyFill="1" applyBorder="1"/>
    <xf numFmtId="0" fontId="13" fillId="4" borderId="0" xfId="0" applyFont="1" applyFill="1" applyAlignment="1">
      <alignment vertical="center"/>
    </xf>
    <xf numFmtId="0" fontId="13" fillId="4" borderId="12" xfId="0" applyFont="1" applyFill="1" applyBorder="1" applyAlignment="1">
      <alignment vertical="center" wrapText="1"/>
    </xf>
    <xf numFmtId="0" fontId="13" fillId="4" borderId="0" xfId="0" applyFont="1" applyFill="1" applyBorder="1" applyAlignment="1">
      <alignment vertical="center"/>
    </xf>
    <xf numFmtId="0" fontId="13" fillId="4" borderId="12" xfId="0" applyFont="1" applyFill="1" applyBorder="1"/>
    <xf numFmtId="0" fontId="13" fillId="4" borderId="0" xfId="0" applyFont="1" applyFill="1" applyAlignment="1">
      <alignment horizontal="right"/>
    </xf>
    <xf numFmtId="0" fontId="13" fillId="4" borderId="12" xfId="0" applyFont="1" applyFill="1" applyBorder="1" applyAlignment="1">
      <alignment horizontal="right"/>
    </xf>
    <xf numFmtId="0" fontId="13" fillId="4" borderId="11" xfId="0" applyFont="1" applyFill="1" applyBorder="1" applyAlignment="1">
      <alignment wrapText="1"/>
    </xf>
    <xf numFmtId="0" fontId="13" fillId="4" borderId="11" xfId="0" applyFont="1" applyFill="1" applyBorder="1"/>
    <xf numFmtId="43" fontId="13" fillId="4" borderId="0" xfId="0" applyNumberFormat="1" applyFont="1" applyFill="1" applyBorder="1"/>
    <xf numFmtId="166" fontId="13" fillId="4" borderId="0" xfId="1" applyNumberFormat="1" applyFont="1" applyFill="1" applyBorder="1"/>
    <xf numFmtId="166" fontId="13" fillId="4" borderId="0" xfId="0" applyNumberFormat="1" applyFont="1" applyFill="1"/>
    <xf numFmtId="0" fontId="13" fillId="4" borderId="0" xfId="0" applyFont="1" applyFill="1" applyProtection="1"/>
    <xf numFmtId="0" fontId="13" fillId="4" borderId="0" xfId="0" applyFont="1" applyFill="1" applyAlignment="1" applyProtection="1">
      <alignment horizontal="center"/>
    </xf>
    <xf numFmtId="0" fontId="33" fillId="4" borderId="0" xfId="0" applyFont="1" applyFill="1" applyProtection="1"/>
    <xf numFmtId="0" fontId="34" fillId="4" borderId="0" xfId="0" applyFont="1" applyFill="1" applyProtection="1"/>
    <xf numFmtId="0" fontId="13" fillId="5" borderId="11" xfId="0" applyFont="1" applyFill="1" applyBorder="1" applyProtection="1"/>
    <xf numFmtId="0" fontId="13" fillId="5" borderId="11" xfId="0" applyFont="1" applyFill="1" applyBorder="1" applyAlignment="1" applyProtection="1">
      <alignment horizontal="right" wrapText="1"/>
    </xf>
    <xf numFmtId="0" fontId="19" fillId="4" borderId="10" xfId="0" applyFont="1" applyFill="1" applyBorder="1" applyAlignment="1" applyProtection="1">
      <alignment horizontal="right" vertical="top" wrapText="1"/>
    </xf>
    <xf numFmtId="0" fontId="34" fillId="4" borderId="10" xfId="0" applyFont="1" applyFill="1" applyBorder="1" applyAlignment="1" applyProtection="1">
      <alignment horizontal="right" vertical="top" wrapText="1"/>
    </xf>
    <xf numFmtId="0" fontId="36" fillId="5" borderId="10" xfId="0" applyFont="1" applyFill="1" applyBorder="1" applyAlignment="1" applyProtection="1">
      <alignment horizontal="left" vertical="top"/>
    </xf>
    <xf numFmtId="43" fontId="18" fillId="5" borderId="10" xfId="1" applyNumberFormat="1" applyFont="1" applyFill="1" applyBorder="1" applyProtection="1"/>
    <xf numFmtId="2" fontId="13" fillId="5" borderId="0" xfId="0" applyNumberFormat="1" applyFont="1" applyFill="1" applyBorder="1" applyProtection="1"/>
    <xf numFmtId="0" fontId="13" fillId="4" borderId="0" xfId="0" applyFont="1" applyFill="1" applyBorder="1" applyAlignment="1" applyProtection="1">
      <alignment horizontal="right" vertical="top" wrapText="1"/>
    </xf>
    <xf numFmtId="0" fontId="7" fillId="4" borderId="0" xfId="0" applyFont="1" applyFill="1" applyBorder="1" applyAlignment="1" applyProtection="1">
      <alignment horizontal="right" vertical="top" wrapText="1"/>
    </xf>
    <xf numFmtId="0" fontId="13" fillId="5" borderId="10" xfId="0" applyFont="1" applyFill="1" applyBorder="1" applyAlignment="1" applyProtection="1">
      <alignment horizontal="right" vertical="top" wrapText="1"/>
    </xf>
    <xf numFmtId="0" fontId="13" fillId="4" borderId="10" xfId="0" applyFont="1" applyFill="1" applyBorder="1" applyAlignment="1" applyProtection="1">
      <alignment horizontal="right" vertical="top" wrapText="1"/>
    </xf>
    <xf numFmtId="0" fontId="38" fillId="4" borderId="10" xfId="4" applyFont="1" applyFill="1" applyBorder="1" applyProtection="1"/>
    <xf numFmtId="43" fontId="13" fillId="5" borderId="10" xfId="1" applyNumberFormat="1" applyFont="1" applyFill="1" applyBorder="1" applyProtection="1"/>
    <xf numFmtId="0" fontId="7" fillId="4" borderId="12" xfId="0" applyFont="1" applyFill="1" applyBorder="1" applyAlignment="1" applyProtection="1">
      <alignment horizontal="right" vertical="top" wrapText="1"/>
    </xf>
    <xf numFmtId="0" fontId="36" fillId="5" borderId="10" xfId="0" applyFont="1" applyFill="1" applyBorder="1" applyAlignment="1" applyProtection="1">
      <alignment horizontal="left" vertical="top" wrapText="1"/>
    </xf>
    <xf numFmtId="165" fontId="13" fillId="5" borderId="12" xfId="1" applyNumberFormat="1" applyFont="1" applyFill="1" applyBorder="1" applyProtection="1"/>
    <xf numFmtId="0" fontId="13" fillId="5" borderId="0" xfId="0" applyFont="1" applyFill="1" applyBorder="1" applyAlignment="1" applyProtection="1">
      <alignment horizontal="right" vertical="top" wrapText="1"/>
    </xf>
    <xf numFmtId="0" fontId="13" fillId="5" borderId="0" xfId="0" applyFont="1" applyFill="1" applyBorder="1" applyProtection="1"/>
    <xf numFmtId="0" fontId="36" fillId="5" borderId="10" xfId="0" applyFont="1" applyFill="1" applyBorder="1" applyAlignment="1" applyProtection="1">
      <alignment vertical="top"/>
    </xf>
    <xf numFmtId="166" fontId="18" fillId="5" borderId="11" xfId="1" applyNumberFormat="1" applyFont="1" applyFill="1" applyBorder="1" applyProtection="1"/>
    <xf numFmtId="0" fontId="13" fillId="4" borderId="11" xfId="0" applyFont="1" applyFill="1" applyBorder="1" applyAlignment="1" applyProtection="1">
      <alignment horizontal="right" vertical="top" wrapText="1"/>
    </xf>
    <xf numFmtId="0" fontId="7" fillId="4" borderId="10" xfId="0" applyFont="1" applyFill="1" applyBorder="1" applyAlignment="1" applyProtection="1">
      <alignment horizontal="right" vertical="top" wrapText="1"/>
    </xf>
    <xf numFmtId="0" fontId="7" fillId="5" borderId="0" xfId="0" applyFont="1" applyFill="1" applyBorder="1" applyAlignment="1" applyProtection="1">
      <alignment horizontal="right" vertical="top" wrapText="1"/>
    </xf>
    <xf numFmtId="0" fontId="13" fillId="4" borderId="12" xfId="0" applyFont="1" applyFill="1" applyBorder="1" applyAlignment="1" applyProtection="1">
      <alignment horizontal="right" vertical="top" wrapText="1"/>
    </xf>
    <xf numFmtId="0" fontId="7" fillId="5" borderId="12" xfId="0" applyFont="1" applyFill="1" applyBorder="1" applyAlignment="1" applyProtection="1">
      <alignment horizontal="left"/>
    </xf>
    <xf numFmtId="0" fontId="13" fillId="5" borderId="10" xfId="0" applyFont="1" applyFill="1" applyBorder="1" applyProtection="1"/>
    <xf numFmtId="0" fontId="13" fillId="4" borderId="0" xfId="0" applyFont="1" applyFill="1" applyAlignment="1" applyProtection="1">
      <alignment horizontal="left"/>
    </xf>
    <xf numFmtId="9" fontId="13" fillId="4" borderId="0" xfId="0" applyNumberFormat="1" applyFont="1" applyFill="1" applyProtection="1"/>
    <xf numFmtId="0" fontId="13" fillId="4" borderId="0" xfId="0" applyFont="1" applyFill="1" applyAlignment="1" applyProtection="1"/>
    <xf numFmtId="0" fontId="13" fillId="4" borderId="0" xfId="8" applyFont="1" applyFill="1" applyBorder="1" applyProtection="1"/>
    <xf numFmtId="0" fontId="13" fillId="4" borderId="0" xfId="8" applyFont="1" applyFill="1" applyBorder="1" applyAlignment="1" applyProtection="1">
      <alignment horizontal="center"/>
    </xf>
    <xf numFmtId="0" fontId="34" fillId="4" borderId="0" xfId="8" applyFont="1" applyFill="1" applyBorder="1" applyAlignment="1" applyProtection="1">
      <alignment horizontal="center"/>
    </xf>
    <xf numFmtId="0" fontId="34" fillId="4" borderId="0" xfId="8" applyFont="1" applyFill="1" applyBorder="1" applyProtection="1"/>
    <xf numFmtId="43" fontId="13" fillId="4" borderId="0" xfId="8" applyNumberFormat="1" applyFont="1" applyFill="1" applyBorder="1" applyAlignment="1" applyProtection="1">
      <alignment horizontal="center"/>
    </xf>
    <xf numFmtId="0" fontId="13" fillId="4" borderId="10" xfId="0" applyFont="1" applyFill="1" applyBorder="1" applyAlignment="1" applyProtection="1">
      <alignment horizontal="right"/>
    </xf>
    <xf numFmtId="0" fontId="13" fillId="4" borderId="0" xfId="0" applyFont="1" applyFill="1" applyAlignment="1" applyProtection="1">
      <alignment vertical="center" wrapText="1"/>
    </xf>
    <xf numFmtId="0" fontId="13" fillId="4" borderId="0" xfId="0" applyFont="1" applyFill="1" applyBorder="1" applyProtection="1"/>
    <xf numFmtId="0" fontId="13" fillId="0" borderId="0" xfId="0" applyFont="1" applyProtection="1"/>
    <xf numFmtId="0" fontId="19" fillId="4" borderId="0" xfId="0" applyFont="1" applyFill="1" applyBorder="1" applyAlignment="1" applyProtection="1">
      <alignment horizontal="right" vertical="top" wrapText="1"/>
    </xf>
    <xf numFmtId="0" fontId="19" fillId="4" borderId="0" xfId="0" applyFont="1" applyFill="1" applyBorder="1" applyAlignment="1" applyProtection="1">
      <alignment horizontal="left" vertical="top"/>
    </xf>
    <xf numFmtId="0" fontId="13" fillId="4" borderId="20" xfId="8" applyFont="1" applyFill="1" applyBorder="1" applyProtection="1"/>
    <xf numFmtId="43" fontId="34" fillId="4" borderId="0" xfId="8" applyNumberFormat="1" applyFont="1" applyFill="1" applyBorder="1" applyAlignment="1" applyProtection="1">
      <alignment horizontal="center"/>
    </xf>
    <xf numFmtId="0" fontId="13" fillId="4" borderId="12" xfId="8" applyFont="1" applyFill="1" applyBorder="1" applyProtection="1"/>
    <xf numFmtId="0" fontId="13" fillId="4" borderId="0" xfId="0" applyFont="1" applyFill="1" applyAlignment="1">
      <alignment horizontal="center"/>
    </xf>
    <xf numFmtId="0" fontId="13" fillId="4" borderId="0" xfId="0" applyFont="1" applyFill="1" applyBorder="1" applyAlignment="1">
      <alignment horizontal="center"/>
    </xf>
    <xf numFmtId="0" fontId="18" fillId="5" borderId="11" xfId="0" applyFont="1" applyFill="1" applyBorder="1" applyAlignment="1" applyProtection="1">
      <alignment horizontal="right" wrapText="1"/>
    </xf>
    <xf numFmtId="0" fontId="13" fillId="5" borderId="0" xfId="0" applyFont="1" applyFill="1" applyBorder="1" applyAlignment="1" applyProtection="1">
      <alignment horizontal="right"/>
    </xf>
    <xf numFmtId="0" fontId="13" fillId="4" borderId="0" xfId="0" applyFont="1" applyFill="1" applyBorder="1" applyAlignment="1" applyProtection="1">
      <alignment horizontal="right"/>
    </xf>
    <xf numFmtId="165" fontId="13" fillId="4" borderId="0" xfId="1" applyNumberFormat="1" applyFont="1" applyFill="1" applyBorder="1" applyProtection="1"/>
    <xf numFmtId="0" fontId="13" fillId="4" borderId="12" xfId="0" applyFont="1" applyFill="1" applyBorder="1" applyAlignment="1" applyProtection="1">
      <alignment horizontal="right"/>
    </xf>
    <xf numFmtId="168" fontId="13" fillId="4" borderId="12" xfId="1" applyNumberFormat="1" applyFont="1" applyFill="1" applyBorder="1" applyProtection="1"/>
    <xf numFmtId="0" fontId="13" fillId="5" borderId="12" xfId="0" applyFont="1" applyFill="1" applyBorder="1" applyProtection="1"/>
    <xf numFmtId="164" fontId="13" fillId="4" borderId="10" xfId="6" applyNumberFormat="1" applyFont="1" applyFill="1" applyBorder="1" applyProtection="1"/>
    <xf numFmtId="166" fontId="13" fillId="5" borderId="11" xfId="1" applyNumberFormat="1" applyFont="1" applyFill="1" applyBorder="1" applyProtection="1"/>
    <xf numFmtId="0" fontId="13" fillId="4" borderId="11" xfId="0" applyFont="1" applyFill="1" applyBorder="1" applyAlignment="1" applyProtection="1">
      <alignment horizontal="right"/>
    </xf>
    <xf numFmtId="43" fontId="13" fillId="4" borderId="11" xfId="1" applyNumberFormat="1" applyFont="1" applyFill="1" applyBorder="1" applyProtection="1"/>
    <xf numFmtId="43" fontId="13" fillId="4" borderId="0" xfId="1" applyNumberFormat="1" applyFont="1" applyFill="1" applyBorder="1" applyProtection="1"/>
    <xf numFmtId="43" fontId="13" fillId="4" borderId="12" xfId="1" applyNumberFormat="1" applyFont="1" applyFill="1" applyBorder="1" applyProtection="1"/>
    <xf numFmtId="9" fontId="13" fillId="4" borderId="0" xfId="6" applyFont="1" applyFill="1" applyBorder="1" applyProtection="1"/>
    <xf numFmtId="0" fontId="13" fillId="5" borderId="10" xfId="0" applyFont="1" applyFill="1" applyBorder="1" applyAlignment="1" applyProtection="1">
      <alignment horizontal="right"/>
    </xf>
    <xf numFmtId="9" fontId="13" fillId="5" borderId="10" xfId="6" applyFont="1" applyFill="1" applyBorder="1" applyProtection="1"/>
    <xf numFmtId="0" fontId="36" fillId="4" borderId="10" xfId="0" applyFont="1" applyFill="1" applyBorder="1" applyAlignment="1" applyProtection="1">
      <alignment horizontal="right"/>
    </xf>
    <xf numFmtId="43" fontId="13" fillId="4" borderId="10" xfId="1" applyNumberFormat="1" applyFont="1" applyFill="1" applyBorder="1" applyProtection="1"/>
    <xf numFmtId="164" fontId="13" fillId="4" borderId="0" xfId="6" applyNumberFormat="1" applyFont="1" applyFill="1" applyBorder="1" applyProtection="1"/>
    <xf numFmtId="166" fontId="13" fillId="4" borderId="0" xfId="1" applyNumberFormat="1" applyFont="1" applyFill="1" applyBorder="1" applyProtection="1"/>
    <xf numFmtId="164" fontId="13" fillId="4" borderId="12" xfId="6" applyNumberFormat="1" applyFont="1" applyFill="1" applyBorder="1" applyProtection="1"/>
    <xf numFmtId="165" fontId="13" fillId="4" borderId="10" xfId="1" applyNumberFormat="1" applyFont="1" applyFill="1" applyBorder="1" applyProtection="1"/>
    <xf numFmtId="0" fontId="13" fillId="4" borderId="0" xfId="0" applyFont="1" applyFill="1" applyAlignment="1" applyProtection="1">
      <alignment horizontal="right"/>
    </xf>
    <xf numFmtId="0" fontId="33" fillId="4" borderId="0" xfId="0" applyFont="1" applyFill="1"/>
    <xf numFmtId="0" fontId="34" fillId="4" borderId="0" xfId="0" applyFont="1" applyFill="1" applyAlignment="1">
      <alignment horizontal="right"/>
    </xf>
    <xf numFmtId="0" fontId="34" fillId="4" borderId="0" xfId="0" applyFont="1" applyFill="1" applyBorder="1" applyAlignment="1">
      <alignment horizontal="center"/>
    </xf>
    <xf numFmtId="0" fontId="13" fillId="5" borderId="10" xfId="0" applyFont="1" applyFill="1" applyBorder="1" applyAlignment="1">
      <alignment horizontal="center"/>
    </xf>
    <xf numFmtId="0" fontId="34" fillId="5" borderId="10" xfId="0" applyFont="1" applyFill="1" applyBorder="1" applyAlignment="1">
      <alignment horizontal="right"/>
    </xf>
    <xf numFmtId="0" fontId="34" fillId="5" borderId="10" xfId="0" applyFont="1" applyFill="1" applyBorder="1" applyAlignment="1">
      <alignment horizontal="center"/>
    </xf>
    <xf numFmtId="0" fontId="7" fillId="4" borderId="10" xfId="0" applyFont="1" applyFill="1" applyBorder="1" applyAlignment="1">
      <alignment horizontal="right" vertical="top" wrapText="1"/>
    </xf>
    <xf numFmtId="0" fontId="34" fillId="4" borderId="10" xfId="0" applyFont="1" applyFill="1" applyBorder="1" applyAlignment="1">
      <alignment horizontal="right"/>
    </xf>
    <xf numFmtId="0" fontId="36" fillId="5" borderId="10" xfId="0" applyFont="1" applyFill="1" applyBorder="1" applyAlignment="1">
      <alignment horizontal="left" vertical="top"/>
    </xf>
    <xf numFmtId="0" fontId="13" fillId="4" borderId="0" xfId="0" applyFont="1" applyFill="1" applyBorder="1" applyAlignment="1">
      <alignment horizontal="right" vertical="top" wrapText="1"/>
    </xf>
    <xf numFmtId="0" fontId="13" fillId="4" borderId="0" xfId="0" applyFont="1" applyFill="1" applyBorder="1" applyAlignment="1">
      <alignment horizontal="right"/>
    </xf>
    <xf numFmtId="43" fontId="13" fillId="4" borderId="11" xfId="1" applyNumberFormat="1" applyFont="1" applyFill="1" applyBorder="1"/>
    <xf numFmtId="43" fontId="13" fillId="4" borderId="0" xfId="1" applyNumberFormat="1" applyFont="1" applyFill="1" applyBorder="1"/>
    <xf numFmtId="164" fontId="13" fillId="4" borderId="0" xfId="6" applyNumberFormat="1" applyFont="1" applyFill="1" applyBorder="1"/>
    <xf numFmtId="0" fontId="13" fillId="4" borderId="12" xfId="0" applyFont="1" applyFill="1" applyBorder="1" applyAlignment="1">
      <alignment horizontal="right" vertical="top" wrapText="1"/>
    </xf>
    <xf numFmtId="164" fontId="13" fillId="4" borderId="12" xfId="6" applyNumberFormat="1" applyFont="1" applyFill="1" applyBorder="1"/>
    <xf numFmtId="0" fontId="13" fillId="5" borderId="12" xfId="0" applyFont="1" applyFill="1" applyBorder="1" applyAlignment="1">
      <alignment horizontal="left"/>
    </xf>
    <xf numFmtId="0" fontId="13" fillId="5" borderId="10" xfId="0" applyFont="1" applyFill="1" applyBorder="1"/>
    <xf numFmtId="0" fontId="13" fillId="5" borderId="12" xfId="0" applyFont="1" applyFill="1" applyBorder="1"/>
    <xf numFmtId="0" fontId="36" fillId="4" borderId="10" xfId="0" applyFont="1" applyFill="1" applyBorder="1" applyAlignment="1">
      <alignment horizontal="left" vertical="top"/>
    </xf>
    <xf numFmtId="0" fontId="13" fillId="4" borderId="10" xfId="0" applyFont="1" applyFill="1" applyBorder="1" applyAlignment="1">
      <alignment horizontal="right"/>
    </xf>
    <xf numFmtId="166" fontId="13" fillId="4" borderId="10" xfId="1" applyNumberFormat="1" applyFont="1" applyFill="1" applyBorder="1"/>
    <xf numFmtId="165" fontId="13" fillId="4" borderId="10" xfId="1" applyNumberFormat="1" applyFont="1" applyFill="1" applyBorder="1"/>
    <xf numFmtId="43" fontId="13" fillId="5" borderId="10" xfId="1" applyNumberFormat="1" applyFont="1" applyFill="1" applyBorder="1"/>
    <xf numFmtId="0" fontId="7" fillId="4" borderId="0" xfId="0" applyFont="1" applyFill="1" applyBorder="1" applyAlignment="1">
      <alignment horizontal="right" vertical="top" wrapText="1"/>
    </xf>
    <xf numFmtId="0" fontId="7" fillId="4" borderId="11" xfId="0" applyFont="1" applyFill="1" applyBorder="1" applyAlignment="1">
      <alignment horizontal="right" vertical="top" wrapText="1"/>
    </xf>
    <xf numFmtId="165" fontId="13" fillId="4" borderId="0" xfId="1" applyNumberFormat="1" applyFont="1" applyFill="1" applyBorder="1"/>
    <xf numFmtId="0" fontId="36" fillId="5" borderId="11" xfId="0" applyFont="1" applyFill="1" applyBorder="1" applyAlignment="1">
      <alignment horizontal="left" vertical="top"/>
    </xf>
    <xf numFmtId="0" fontId="13" fillId="5" borderId="0" xfId="0" applyFont="1" applyFill="1" applyBorder="1" applyAlignment="1">
      <alignment horizontal="right"/>
    </xf>
    <xf numFmtId="165" fontId="13" fillId="5" borderId="0" xfId="1" applyNumberFormat="1" applyFont="1" applyFill="1" applyBorder="1"/>
    <xf numFmtId="0" fontId="41" fillId="4" borderId="10" xfId="0" applyFont="1" applyFill="1" applyBorder="1" applyAlignment="1">
      <alignment horizontal="left" vertical="top"/>
    </xf>
    <xf numFmtId="166" fontId="34" fillId="4" borderId="10" xfId="1" applyNumberFormat="1" applyFont="1" applyFill="1" applyBorder="1"/>
    <xf numFmtId="165" fontId="34" fillId="4" borderId="10" xfId="1" applyNumberFormat="1" applyFont="1" applyFill="1" applyBorder="1"/>
    <xf numFmtId="0" fontId="36" fillId="4" borderId="11" xfId="0" applyFont="1" applyFill="1" applyBorder="1" applyAlignment="1">
      <alignment horizontal="right"/>
    </xf>
    <xf numFmtId="9" fontId="13" fillId="4" borderId="11" xfId="6" applyFont="1" applyFill="1" applyBorder="1"/>
    <xf numFmtId="0" fontId="36" fillId="4" borderId="12" xfId="0" applyFont="1" applyFill="1" applyBorder="1" applyAlignment="1">
      <alignment horizontal="right"/>
    </xf>
    <xf numFmtId="9" fontId="13" fillId="4" borderId="12" xfId="6" applyFont="1" applyFill="1" applyBorder="1"/>
    <xf numFmtId="0" fontId="13" fillId="5" borderId="12" xfId="0" applyFont="1" applyFill="1" applyBorder="1" applyAlignment="1">
      <alignment horizontal="right" vertical="top" wrapText="1"/>
    </xf>
    <xf numFmtId="0" fontId="36" fillId="5" borderId="12" xfId="0" applyFont="1" applyFill="1" applyBorder="1" applyAlignment="1">
      <alignment horizontal="right"/>
    </xf>
    <xf numFmtId="9" fontId="13" fillId="5" borderId="0" xfId="6" applyFont="1" applyFill="1" applyBorder="1"/>
    <xf numFmtId="9" fontId="13" fillId="5" borderId="12" xfId="6" applyFont="1" applyFill="1" applyBorder="1"/>
    <xf numFmtId="0" fontId="13" fillId="4" borderId="10" xfId="0" applyFont="1" applyFill="1" applyBorder="1" applyAlignment="1">
      <alignment horizontal="right" vertical="top" wrapText="1"/>
    </xf>
    <xf numFmtId="0" fontId="38" fillId="4" borderId="10" xfId="4" applyFont="1" applyFill="1" applyBorder="1"/>
    <xf numFmtId="0" fontId="13" fillId="5" borderId="10" xfId="0" applyFont="1" applyFill="1" applyBorder="1" applyAlignment="1">
      <alignment horizontal="right"/>
    </xf>
    <xf numFmtId="43" fontId="13" fillId="5" borderId="12" xfId="1" applyNumberFormat="1" applyFont="1" applyFill="1" applyBorder="1"/>
    <xf numFmtId="0" fontId="36" fillId="4" borderId="0" xfId="0" applyFont="1" applyFill="1" applyBorder="1" applyAlignment="1">
      <alignment horizontal="right"/>
    </xf>
    <xf numFmtId="43" fontId="13" fillId="4" borderId="0" xfId="1" applyFont="1" applyFill="1" applyBorder="1"/>
    <xf numFmtId="0" fontId="36" fillId="4" borderId="10" xfId="0" applyFont="1" applyFill="1" applyBorder="1" applyAlignment="1">
      <alignment horizontal="right"/>
    </xf>
    <xf numFmtId="0" fontId="13" fillId="5" borderId="12" xfId="0" applyFont="1" applyFill="1" applyBorder="1" applyAlignment="1">
      <alignment horizontal="right"/>
    </xf>
    <xf numFmtId="0" fontId="13" fillId="5" borderId="11" xfId="0" applyFont="1" applyFill="1" applyBorder="1"/>
    <xf numFmtId="0" fontId="18" fillId="5" borderId="11" xfId="0" applyFont="1" applyFill="1" applyBorder="1"/>
    <xf numFmtId="0" fontId="19" fillId="5" borderId="11" xfId="0" applyFont="1" applyFill="1" applyBorder="1" applyAlignment="1">
      <alignment horizontal="right"/>
    </xf>
    <xf numFmtId="166" fontId="7" fillId="5" borderId="11" xfId="1" applyNumberFormat="1" applyFont="1" applyFill="1" applyBorder="1"/>
    <xf numFmtId="166" fontId="7" fillId="5" borderId="0" xfId="1" applyNumberFormat="1" applyFont="1" applyFill="1" applyBorder="1"/>
    <xf numFmtId="0" fontId="7" fillId="4" borderId="0" xfId="0" applyFont="1" applyFill="1"/>
    <xf numFmtId="0" fontId="13" fillId="4" borderId="11" xfId="0" applyFont="1" applyFill="1" applyBorder="1" applyAlignment="1">
      <alignment horizontal="right" vertical="top" wrapText="1"/>
    </xf>
    <xf numFmtId="0" fontId="13" fillId="4" borderId="11" xfId="0" applyFont="1" applyFill="1" applyBorder="1" applyAlignment="1">
      <alignment horizontal="right"/>
    </xf>
    <xf numFmtId="43" fontId="13" fillId="4" borderId="12" xfId="1" applyNumberFormat="1" applyFont="1" applyFill="1" applyBorder="1"/>
    <xf numFmtId="0" fontId="33" fillId="5" borderId="12" xfId="0" applyFont="1" applyFill="1" applyBorder="1"/>
    <xf numFmtId="0" fontId="13" fillId="4" borderId="0" xfId="0" applyFont="1" applyFill="1" applyAlignment="1">
      <alignment horizontal="right" vertical="top" wrapText="1"/>
    </xf>
    <xf numFmtId="0" fontId="18" fillId="5" borderId="10" xfId="0" applyFont="1" applyFill="1" applyBorder="1"/>
    <xf numFmtId="165" fontId="13" fillId="5" borderId="11" xfId="1" applyNumberFormat="1" applyFont="1" applyFill="1" applyBorder="1"/>
    <xf numFmtId="165" fontId="13" fillId="4" borderId="11" xfId="1" applyNumberFormat="1" applyFont="1" applyFill="1" applyBorder="1"/>
    <xf numFmtId="167" fontId="13" fillId="4" borderId="0" xfId="1" applyNumberFormat="1" applyFont="1" applyFill="1" applyBorder="1"/>
    <xf numFmtId="167" fontId="13" fillId="4" borderId="12" xfId="1" applyNumberFormat="1" applyFont="1" applyFill="1" applyBorder="1"/>
    <xf numFmtId="165" fontId="18" fillId="5" borderId="12" xfId="1" applyNumberFormat="1" applyFont="1" applyFill="1" applyBorder="1"/>
    <xf numFmtId="165" fontId="13" fillId="5" borderId="12" xfId="1" applyNumberFormat="1" applyFont="1" applyFill="1" applyBorder="1"/>
    <xf numFmtId="164" fontId="13" fillId="4" borderId="10" xfId="6" applyNumberFormat="1" applyFont="1" applyFill="1" applyBorder="1"/>
    <xf numFmtId="0" fontId="13" fillId="5" borderId="10" xfId="0" applyFont="1" applyFill="1" applyBorder="1" applyAlignment="1">
      <alignment horizontal="right" vertical="top" wrapText="1"/>
    </xf>
    <xf numFmtId="165" fontId="13" fillId="5" borderId="10" xfId="1" applyNumberFormat="1" applyFont="1" applyFill="1" applyBorder="1"/>
    <xf numFmtId="0" fontId="7" fillId="5" borderId="0" xfId="0" applyFont="1" applyFill="1" applyBorder="1"/>
    <xf numFmtId="0" fontId="30" fillId="5" borderId="0" xfId="0" applyFont="1" applyFill="1" applyBorder="1"/>
    <xf numFmtId="43" fontId="13" fillId="4" borderId="0" xfId="0" applyNumberFormat="1" applyFont="1" applyFill="1"/>
    <xf numFmtId="0" fontId="28" fillId="4" borderId="0" xfId="11" applyFont="1" applyFill="1" applyAlignment="1" applyProtection="1">
      <alignment vertical="center"/>
    </xf>
    <xf numFmtId="0" fontId="7" fillId="4" borderId="0" xfId="10" applyFont="1" applyFill="1" applyAlignment="1">
      <alignment vertical="center"/>
    </xf>
    <xf numFmtId="14" fontId="13" fillId="12" borderId="1" xfId="4" applyNumberFormat="1" applyFont="1" applyFill="1" applyBorder="1" applyProtection="1">
      <protection locked="0"/>
    </xf>
    <xf numFmtId="0" fontId="27" fillId="4" borderId="0" xfId="0" applyFont="1" applyFill="1"/>
    <xf numFmtId="0" fontId="20" fillId="4" borderId="0" xfId="0" applyFont="1" applyFill="1"/>
    <xf numFmtId="0" fontId="27" fillId="4" borderId="0" xfId="0" applyFont="1" applyFill="1" applyProtection="1"/>
    <xf numFmtId="0" fontId="28" fillId="0" borderId="0" xfId="11" applyFill="1" applyAlignment="1" applyProtection="1"/>
    <xf numFmtId="0" fontId="13" fillId="3" borderId="1" xfId="10" applyFont="1" applyFill="1" applyBorder="1" applyAlignment="1" applyProtection="1">
      <alignment horizontal="left" vertical="center"/>
      <protection locked="0"/>
    </xf>
    <xf numFmtId="171" fontId="13" fillId="3" borderId="1" xfId="10" applyNumberFormat="1" applyFont="1" applyFill="1" applyBorder="1" applyAlignment="1" applyProtection="1">
      <alignment horizontal="left" vertical="center"/>
      <protection locked="0"/>
    </xf>
    <xf numFmtId="2" fontId="13" fillId="12" borderId="1" xfId="8" applyNumberFormat="1" applyFont="1" applyFill="1" applyBorder="1" applyAlignment="1" applyProtection="1">
      <alignment wrapText="1"/>
      <protection locked="0"/>
    </xf>
    <xf numFmtId="165" fontId="13" fillId="11" borderId="10" xfId="1" applyNumberFormat="1" applyFont="1" applyFill="1" applyBorder="1"/>
    <xf numFmtId="165" fontId="13" fillId="11" borderId="0" xfId="1" applyNumberFormat="1" applyFont="1" applyFill="1" applyBorder="1"/>
    <xf numFmtId="43" fontId="13" fillId="11" borderId="10" xfId="1" applyNumberFormat="1" applyFont="1" applyFill="1" applyBorder="1"/>
    <xf numFmtId="43" fontId="13" fillId="11" borderId="0" xfId="1" applyFont="1" applyFill="1" applyBorder="1"/>
    <xf numFmtId="166" fontId="13" fillId="11" borderId="0" xfId="1" applyNumberFormat="1" applyFont="1" applyFill="1" applyBorder="1"/>
    <xf numFmtId="165" fontId="13" fillId="11" borderId="0" xfId="1" applyNumberFormat="1" applyFont="1" applyFill="1" applyBorder="1" applyProtection="1"/>
    <xf numFmtId="43" fontId="34" fillId="11" borderId="10" xfId="1" applyNumberFormat="1" applyFont="1" applyFill="1" applyBorder="1" applyProtection="1"/>
    <xf numFmtId="43" fontId="13" fillId="11" borderId="0" xfId="1" applyNumberFormat="1" applyFont="1" applyFill="1" applyBorder="1" applyProtection="1"/>
    <xf numFmtId="43" fontId="13" fillId="11" borderId="10" xfId="1" applyNumberFormat="1" applyFont="1" applyFill="1" applyBorder="1" applyProtection="1"/>
    <xf numFmtId="166" fontId="13" fillId="11" borderId="11" xfId="1" applyNumberFormat="1" applyFont="1" applyFill="1" applyBorder="1"/>
    <xf numFmtId="166" fontId="13" fillId="11" borderId="12" xfId="1" applyNumberFormat="1" applyFont="1" applyFill="1" applyBorder="1"/>
    <xf numFmtId="43" fontId="13" fillId="11" borderId="21" xfId="1" applyFont="1" applyFill="1" applyBorder="1" applyProtection="1"/>
    <xf numFmtId="170" fontId="13" fillId="12" borderId="10" xfId="1" applyNumberFormat="1" applyFont="1" applyFill="1" applyBorder="1" applyProtection="1">
      <protection locked="0"/>
    </xf>
    <xf numFmtId="170" fontId="13" fillId="12" borderId="0" xfId="1" applyNumberFormat="1" applyFont="1" applyFill="1" applyBorder="1" applyProtection="1">
      <protection locked="0"/>
    </xf>
    <xf numFmtId="170" fontId="13" fillId="12" borderId="11" xfId="1" applyNumberFormat="1" applyFont="1" applyFill="1" applyBorder="1" applyProtection="1">
      <protection locked="0"/>
    </xf>
    <xf numFmtId="170" fontId="13" fillId="12" borderId="12" xfId="1" applyNumberFormat="1" applyFont="1" applyFill="1" applyBorder="1" applyProtection="1">
      <protection locked="0"/>
    </xf>
    <xf numFmtId="172" fontId="13" fillId="12" borderId="10" xfId="1" applyNumberFormat="1" applyFont="1" applyFill="1" applyBorder="1" applyProtection="1">
      <protection locked="0"/>
    </xf>
    <xf numFmtId="170" fontId="13" fillId="11" borderId="11" xfId="1" applyNumberFormat="1" applyFont="1" applyFill="1" applyBorder="1"/>
    <xf numFmtId="170" fontId="13" fillId="11" borderId="0" xfId="4" applyNumberFormat="1" applyFont="1" applyFill="1" applyBorder="1"/>
    <xf numFmtId="170" fontId="13" fillId="11" borderId="0" xfId="1" applyNumberFormat="1" applyFont="1" applyFill="1" applyBorder="1"/>
    <xf numFmtId="0" fontId="18" fillId="5" borderId="10" xfId="0" applyFont="1" applyFill="1" applyBorder="1" applyAlignment="1">
      <alignment horizontal="left"/>
    </xf>
    <xf numFmtId="0" fontId="7" fillId="5" borderId="10" xfId="0" applyFont="1" applyFill="1" applyBorder="1" applyAlignment="1">
      <alignment horizontal="left"/>
    </xf>
    <xf numFmtId="170" fontId="13" fillId="11" borderId="10" xfId="4" applyNumberFormat="1" applyFont="1" applyFill="1" applyBorder="1"/>
    <xf numFmtId="170" fontId="13" fillId="11" borderId="10" xfId="1" applyNumberFormat="1" applyFont="1" applyFill="1" applyBorder="1"/>
    <xf numFmtId="170" fontId="13" fillId="5" borderId="10" xfId="1" applyNumberFormat="1" applyFont="1" applyFill="1" applyBorder="1"/>
    <xf numFmtId="170" fontId="13" fillId="4" borderId="10" xfId="1" applyNumberFormat="1" applyFont="1" applyFill="1" applyBorder="1"/>
    <xf numFmtId="170" fontId="18" fillId="5" borderId="11" xfId="1" applyNumberFormat="1" applyFont="1" applyFill="1" applyBorder="1"/>
    <xf numFmtId="170" fontId="13" fillId="5" borderId="11" xfId="1" applyNumberFormat="1" applyFont="1" applyFill="1" applyBorder="1"/>
    <xf numFmtId="167" fontId="13" fillId="11" borderId="0" xfId="1" applyNumberFormat="1" applyFont="1" applyFill="1" applyBorder="1"/>
    <xf numFmtId="167" fontId="13" fillId="11" borderId="12" xfId="1" applyNumberFormat="1" applyFont="1" applyFill="1" applyBorder="1"/>
    <xf numFmtId="10" fontId="13" fillId="11" borderId="10" xfId="6" applyNumberFormat="1" applyFont="1" applyFill="1" applyBorder="1"/>
    <xf numFmtId="170" fontId="13" fillId="11" borderId="12" xfId="1" applyNumberFormat="1" applyFont="1" applyFill="1" applyBorder="1"/>
    <xf numFmtId="170" fontId="13" fillId="4" borderId="0" xfId="1" applyNumberFormat="1" applyFont="1" applyFill="1" applyBorder="1"/>
    <xf numFmtId="168" fontId="13" fillId="11" borderId="0" xfId="1" applyNumberFormat="1" applyFont="1" applyFill="1" applyBorder="1"/>
    <xf numFmtId="10" fontId="13" fillId="11" borderId="11" xfId="6" applyNumberFormat="1" applyFont="1" applyFill="1" applyBorder="1"/>
    <xf numFmtId="10" fontId="13" fillId="11" borderId="12" xfId="6" applyNumberFormat="1" applyFont="1" applyFill="1" applyBorder="1"/>
    <xf numFmtId="170" fontId="18" fillId="5" borderId="10" xfId="1" applyNumberFormat="1" applyFont="1" applyFill="1" applyBorder="1"/>
    <xf numFmtId="170" fontId="13" fillId="4" borderId="11" xfId="1" applyNumberFormat="1" applyFont="1" applyFill="1" applyBorder="1"/>
    <xf numFmtId="10" fontId="13" fillId="11" borderId="0" xfId="6" applyNumberFormat="1" applyFont="1" applyFill="1" applyBorder="1"/>
    <xf numFmtId="170" fontId="34" fillId="11" borderId="10" xfId="1" applyNumberFormat="1" applyFont="1" applyFill="1" applyBorder="1" applyProtection="1"/>
    <xf numFmtId="170" fontId="13" fillId="5" borderId="0" xfId="0" applyNumberFormat="1" applyFont="1" applyFill="1" applyBorder="1" applyProtection="1"/>
    <xf numFmtId="170" fontId="13" fillId="5" borderId="10" xfId="1" applyNumberFormat="1" applyFont="1" applyFill="1" applyBorder="1" applyProtection="1"/>
    <xf numFmtId="170" fontId="13" fillId="11" borderId="0" xfId="1" applyNumberFormat="1" applyFont="1" applyFill="1" applyBorder="1" applyProtection="1"/>
    <xf numFmtId="170" fontId="13" fillId="4" borderId="0" xfId="1" applyNumberFormat="1" applyFont="1" applyFill="1" applyBorder="1" applyProtection="1"/>
    <xf numFmtId="170" fontId="13" fillId="11" borderId="12" xfId="1" applyNumberFormat="1" applyFont="1" applyFill="1" applyBorder="1" applyProtection="1"/>
    <xf numFmtId="170" fontId="13" fillId="4" borderId="12" xfId="1" applyNumberFormat="1" applyFont="1" applyFill="1" applyBorder="1" applyProtection="1"/>
    <xf numFmtId="10" fontId="13" fillId="11" borderId="10" xfId="6" applyNumberFormat="1" applyFont="1" applyFill="1" applyBorder="1" applyProtection="1"/>
    <xf numFmtId="170" fontId="13" fillId="11" borderId="11" xfId="1" applyNumberFormat="1" applyFont="1" applyFill="1" applyBorder="1" applyProtection="1"/>
    <xf numFmtId="170" fontId="18" fillId="5" borderId="10" xfId="1" applyNumberFormat="1" applyFont="1" applyFill="1" applyBorder="1" applyProtection="1"/>
    <xf numFmtId="170" fontId="18" fillId="5" borderId="11" xfId="1" applyNumberFormat="1" applyFont="1" applyFill="1" applyBorder="1" applyProtection="1"/>
    <xf numFmtId="170" fontId="13" fillId="5" borderId="11" xfId="1" applyNumberFormat="1" applyFont="1" applyFill="1" applyBorder="1" applyProtection="1"/>
    <xf numFmtId="170" fontId="13" fillId="4" borderId="11" xfId="1" applyNumberFormat="1" applyFont="1" applyFill="1" applyBorder="1" applyProtection="1"/>
    <xf numFmtId="10" fontId="13" fillId="11" borderId="0" xfId="6" applyNumberFormat="1" applyFont="1" applyFill="1" applyBorder="1" applyProtection="1"/>
    <xf numFmtId="10" fontId="13" fillId="11" borderId="0" xfId="1" applyNumberFormat="1" applyFont="1" applyFill="1" applyBorder="1" applyProtection="1"/>
    <xf numFmtId="10" fontId="13" fillId="11" borderId="12" xfId="6" applyNumberFormat="1" applyFont="1" applyFill="1" applyBorder="1" applyProtection="1"/>
    <xf numFmtId="170" fontId="13" fillId="11" borderId="10" xfId="1" applyNumberFormat="1" applyFont="1" applyFill="1" applyBorder="1" applyProtection="1"/>
    <xf numFmtId="170" fontId="13" fillId="12" borderId="1" xfId="0" applyNumberFormat="1" applyFont="1" applyFill="1" applyBorder="1" applyProtection="1">
      <protection locked="0"/>
    </xf>
    <xf numFmtId="0" fontId="13" fillId="4" borderId="0" xfId="0" applyFont="1" applyFill="1" applyAlignment="1" applyProtection="1">
      <alignment vertical="center"/>
    </xf>
    <xf numFmtId="0" fontId="18" fillId="4" borderId="0" xfId="0" applyFont="1" applyFill="1" applyAlignment="1" applyProtection="1">
      <alignment vertical="center"/>
    </xf>
    <xf numFmtId="0" fontId="13" fillId="4" borderId="0" xfId="0" applyFont="1" applyFill="1" applyAlignment="1" applyProtection="1">
      <alignment horizontal="center" vertical="center"/>
    </xf>
    <xf numFmtId="0" fontId="27" fillId="4" borderId="0" xfId="0" applyFont="1" applyFill="1" applyAlignment="1" applyProtection="1">
      <alignment vertical="center"/>
    </xf>
    <xf numFmtId="0" fontId="13" fillId="4" borderId="1" xfId="0" applyFont="1" applyFill="1" applyBorder="1" applyAlignment="1" applyProtection="1">
      <alignment vertical="center"/>
    </xf>
    <xf numFmtId="0" fontId="34" fillId="4" borderId="1" xfId="0" applyNumberFormat="1" applyFont="1" applyFill="1" applyBorder="1" applyAlignment="1" applyProtection="1">
      <alignment vertical="center" wrapText="1"/>
    </xf>
    <xf numFmtId="0" fontId="34" fillId="4" borderId="1" xfId="0" applyNumberFormat="1" applyFont="1" applyFill="1" applyBorder="1" applyAlignment="1" applyProtection="1">
      <alignment horizontal="center" vertical="center" wrapText="1"/>
    </xf>
    <xf numFmtId="0" fontId="18" fillId="4" borderId="20" xfId="0" applyFont="1" applyFill="1" applyBorder="1" applyAlignment="1" applyProtection="1">
      <alignment vertical="center" wrapText="1"/>
    </xf>
    <xf numFmtId="0" fontId="13" fillId="0" borderId="0" xfId="0" applyFont="1" applyAlignment="1" applyProtection="1">
      <alignment vertical="center"/>
    </xf>
    <xf numFmtId="22" fontId="13" fillId="12" borderId="1" xfId="1" applyNumberFormat="1" applyFont="1" applyFill="1" applyBorder="1" applyAlignment="1" applyProtection="1">
      <alignment vertical="center"/>
      <protection locked="0"/>
    </xf>
    <xf numFmtId="164" fontId="13" fillId="12" borderId="1" xfId="6" applyNumberFormat="1" applyFont="1" applyFill="1" applyBorder="1" applyAlignment="1" applyProtection="1">
      <alignment vertical="center"/>
      <protection locked="0"/>
    </xf>
    <xf numFmtId="164" fontId="13" fillId="12" borderId="1" xfId="6" applyNumberFormat="1" applyFont="1" applyFill="1" applyBorder="1" applyAlignment="1" applyProtection="1">
      <alignment horizontal="center" vertical="center"/>
      <protection locked="0"/>
    </xf>
    <xf numFmtId="164" fontId="18" fillId="12" borderId="1" xfId="6" applyNumberFormat="1" applyFont="1" applyFill="1" applyBorder="1" applyAlignment="1" applyProtection="1">
      <alignment vertical="center"/>
      <protection locked="0"/>
    </xf>
    <xf numFmtId="0" fontId="18" fillId="4" borderId="0" xfId="0" applyFont="1" applyFill="1" applyBorder="1" applyAlignment="1" applyProtection="1">
      <alignment vertical="center" wrapText="1"/>
    </xf>
    <xf numFmtId="170" fontId="13" fillId="12" borderId="1" xfId="8" applyNumberFormat="1" applyFont="1" applyFill="1" applyBorder="1" applyAlignment="1" applyProtection="1">
      <alignment wrapText="1"/>
      <protection locked="0"/>
    </xf>
    <xf numFmtId="170" fontId="13" fillId="11" borderId="1" xfId="1" applyNumberFormat="1" applyFont="1" applyFill="1" applyBorder="1" applyProtection="1"/>
    <xf numFmtId="0" fontId="13" fillId="4" borderId="0" xfId="0" applyFont="1" applyFill="1" applyBorder="1" applyAlignment="1" applyProtection="1">
      <alignment horizontal="right" vertical="center" wrapText="1"/>
    </xf>
    <xf numFmtId="0" fontId="33" fillId="4" borderId="0" xfId="0" applyFont="1" applyFill="1" applyAlignment="1" applyProtection="1">
      <alignment vertical="center"/>
    </xf>
    <xf numFmtId="0" fontId="13" fillId="4" borderId="10" xfId="0" applyFont="1" applyFill="1" applyBorder="1" applyAlignment="1" applyProtection="1">
      <alignment vertical="center"/>
    </xf>
    <xf numFmtId="0" fontId="13" fillId="4" borderId="10" xfId="0" applyFont="1" applyFill="1" applyBorder="1" applyAlignment="1" applyProtection="1">
      <alignment horizontal="right" vertical="center"/>
    </xf>
    <xf numFmtId="0" fontId="13" fillId="4" borderId="10" xfId="0" applyFont="1" applyFill="1" applyBorder="1" applyAlignment="1" applyProtection="1">
      <alignment vertical="center" wrapText="1"/>
    </xf>
    <xf numFmtId="0" fontId="13" fillId="4" borderId="1" xfId="0" applyFont="1" applyFill="1" applyBorder="1" applyAlignment="1" applyProtection="1">
      <alignment vertical="center" wrapText="1"/>
    </xf>
    <xf numFmtId="166" fontId="13" fillId="11" borderId="13" xfId="1" applyNumberFormat="1" applyFont="1" applyFill="1" applyBorder="1" applyAlignment="1" applyProtection="1">
      <alignment vertical="center"/>
    </xf>
    <xf numFmtId="0" fontId="13" fillId="4" borderId="11" xfId="0" applyFont="1" applyFill="1" applyBorder="1" applyAlignment="1" applyProtection="1">
      <alignment vertical="center"/>
    </xf>
    <xf numFmtId="164" fontId="13" fillId="11" borderId="14" xfId="6" applyNumberFormat="1" applyFont="1" applyFill="1" applyBorder="1" applyAlignment="1" applyProtection="1">
      <alignment vertical="center"/>
    </xf>
    <xf numFmtId="166" fontId="13" fillId="11" borderId="14" xfId="1" applyNumberFormat="1" applyFont="1" applyFill="1" applyBorder="1" applyAlignment="1" applyProtection="1">
      <alignment vertical="center"/>
    </xf>
    <xf numFmtId="0" fontId="13" fillId="4" borderId="0" xfId="0" applyFont="1" applyFill="1" applyBorder="1" applyAlignment="1" applyProtection="1">
      <alignment vertical="center"/>
    </xf>
    <xf numFmtId="166" fontId="13" fillId="11" borderId="16" xfId="1" applyNumberFormat="1" applyFont="1" applyFill="1" applyBorder="1" applyAlignment="1" applyProtection="1">
      <alignment vertical="center"/>
    </xf>
    <xf numFmtId="164" fontId="13" fillId="11" borderId="20" xfId="6" applyNumberFormat="1" applyFont="1" applyFill="1" applyBorder="1" applyAlignment="1" applyProtection="1">
      <alignment vertical="center"/>
    </xf>
    <xf numFmtId="164" fontId="13" fillId="11" borderId="13" xfId="6" applyNumberFormat="1" applyFont="1" applyFill="1" applyBorder="1" applyAlignment="1" applyProtection="1">
      <alignment vertical="center"/>
    </xf>
    <xf numFmtId="0" fontId="6" fillId="4" borderId="0" xfId="0" applyFont="1" applyFill="1" applyBorder="1" applyAlignment="1">
      <alignment horizontal="right" vertical="top" wrapText="1"/>
    </xf>
    <xf numFmtId="174" fontId="13" fillId="12" borderId="1" xfId="1" applyNumberFormat="1" applyFont="1" applyFill="1" applyBorder="1" applyProtection="1">
      <protection locked="0"/>
    </xf>
    <xf numFmtId="0" fontId="34" fillId="4" borderId="0" xfId="0" applyFont="1" applyFill="1" applyAlignment="1" applyProtection="1">
      <alignment vertical="center"/>
    </xf>
    <xf numFmtId="0" fontId="34" fillId="4" borderId="0" xfId="0" applyFont="1" applyFill="1" applyAlignment="1" applyProtection="1">
      <alignment horizontal="center" vertical="center"/>
    </xf>
    <xf numFmtId="0" fontId="34" fillId="4" borderId="0" xfId="0" applyFont="1" applyFill="1" applyBorder="1" applyAlignment="1" applyProtection="1">
      <alignment horizontal="center" vertical="center"/>
    </xf>
    <xf numFmtId="0" fontId="13" fillId="5" borderId="11" xfId="0" applyFont="1" applyFill="1" applyBorder="1" applyAlignment="1" applyProtection="1">
      <alignment vertical="center"/>
    </xf>
    <xf numFmtId="0" fontId="13" fillId="5" borderId="11" xfId="0" applyFont="1" applyFill="1" applyBorder="1" applyAlignment="1" applyProtection="1">
      <alignment horizontal="right" vertical="center" wrapText="1"/>
    </xf>
    <xf numFmtId="0" fontId="19" fillId="4" borderId="10" xfId="0" applyFont="1" applyFill="1" applyBorder="1" applyAlignment="1" applyProtection="1">
      <alignment horizontal="right" vertical="center" wrapText="1"/>
    </xf>
    <xf numFmtId="0" fontId="34" fillId="4" borderId="10" xfId="0" applyFont="1" applyFill="1" applyBorder="1" applyAlignment="1" applyProtection="1">
      <alignment horizontal="center" vertical="center"/>
    </xf>
    <xf numFmtId="0" fontId="34" fillId="4" borderId="10" xfId="0" applyFont="1" applyFill="1" applyBorder="1" applyAlignment="1" applyProtection="1">
      <alignment horizontal="right" vertical="center" wrapText="1"/>
    </xf>
    <xf numFmtId="0" fontId="36" fillId="5" borderId="10" xfId="0" applyFont="1" applyFill="1" applyBorder="1" applyAlignment="1" applyProtection="1">
      <alignment horizontal="left" vertical="center"/>
    </xf>
    <xf numFmtId="0" fontId="34" fillId="5" borderId="10" xfId="0" applyFont="1" applyFill="1" applyBorder="1" applyAlignment="1" applyProtection="1">
      <alignment horizontal="center" vertical="center"/>
    </xf>
    <xf numFmtId="43" fontId="18" fillId="5" borderId="10" xfId="1" applyNumberFormat="1" applyFont="1" applyFill="1" applyBorder="1" applyAlignment="1" applyProtection="1">
      <alignment vertical="center"/>
    </xf>
    <xf numFmtId="0" fontId="13" fillId="5" borderId="0" xfId="0" applyFont="1" applyFill="1" applyBorder="1" applyAlignment="1" applyProtection="1">
      <alignment horizontal="center" vertical="center"/>
    </xf>
    <xf numFmtId="2" fontId="13" fillId="5" borderId="0" xfId="0" applyNumberFormat="1" applyFont="1" applyFill="1" applyBorder="1" applyAlignment="1" applyProtection="1">
      <alignment vertical="center"/>
    </xf>
    <xf numFmtId="0" fontId="13" fillId="4" borderId="0" xfId="0" applyFont="1" applyFill="1" applyBorder="1" applyAlignment="1" applyProtection="1">
      <alignment horizontal="center" vertical="center"/>
    </xf>
    <xf numFmtId="43" fontId="13" fillId="5" borderId="11" xfId="1" applyNumberFormat="1" applyFont="1" applyFill="1" applyBorder="1" applyAlignment="1" applyProtection="1">
      <alignment vertical="center"/>
    </xf>
    <xf numFmtId="0" fontId="13" fillId="5" borderId="10" xfId="0" applyFont="1" applyFill="1" applyBorder="1" applyAlignment="1" applyProtection="1">
      <alignment horizontal="center" vertical="center"/>
    </xf>
    <xf numFmtId="0" fontId="36" fillId="4" borderId="0" xfId="0" applyFont="1" applyFill="1" applyBorder="1" applyAlignment="1" applyProtection="1">
      <alignment horizontal="center" vertical="center"/>
    </xf>
    <xf numFmtId="0" fontId="7" fillId="4" borderId="0" xfId="0" applyFont="1" applyFill="1" applyBorder="1" applyAlignment="1" applyProtection="1">
      <alignment horizontal="right" vertical="center" wrapText="1"/>
    </xf>
    <xf numFmtId="0" fontId="13" fillId="5" borderId="10" xfId="0" applyFont="1" applyFill="1" applyBorder="1" applyAlignment="1" applyProtection="1">
      <alignment horizontal="right" vertical="center" wrapText="1"/>
    </xf>
    <xf numFmtId="9" fontId="13" fillId="5" borderId="12" xfId="6" applyFont="1" applyFill="1" applyBorder="1" applyAlignment="1" applyProtection="1">
      <alignment vertical="center"/>
    </xf>
    <xf numFmtId="0" fontId="13" fillId="4" borderId="10" xfId="0" applyFont="1" applyFill="1" applyBorder="1" applyAlignment="1" applyProtection="1">
      <alignment horizontal="right" vertical="center" wrapText="1"/>
    </xf>
    <xf numFmtId="0" fontId="13" fillId="4" borderId="10" xfId="0" applyFont="1" applyFill="1" applyBorder="1" applyAlignment="1" applyProtection="1">
      <alignment horizontal="center" vertical="center"/>
    </xf>
    <xf numFmtId="43" fontId="13" fillId="5" borderId="10" xfId="1" applyNumberFormat="1" applyFont="1" applyFill="1" applyBorder="1" applyAlignment="1" applyProtection="1">
      <alignment vertical="center"/>
    </xf>
    <xf numFmtId="0" fontId="7" fillId="4" borderId="12" xfId="0" applyFont="1" applyFill="1" applyBorder="1" applyAlignment="1" applyProtection="1">
      <alignment horizontal="right" vertical="center" wrapText="1"/>
    </xf>
    <xf numFmtId="0" fontId="13" fillId="4" borderId="12" xfId="0" applyFont="1" applyFill="1" applyBorder="1" applyAlignment="1" applyProtection="1">
      <alignment horizontal="center" vertical="center"/>
    </xf>
    <xf numFmtId="0" fontId="36" fillId="5" borderId="10" xfId="0" applyFont="1" applyFill="1" applyBorder="1" applyAlignment="1" applyProtection="1">
      <alignment horizontal="left" vertical="center" wrapText="1"/>
    </xf>
    <xf numFmtId="0" fontId="13" fillId="5" borderId="12" xfId="0" applyFont="1" applyFill="1" applyBorder="1" applyAlignment="1" applyProtection="1">
      <alignment horizontal="center" vertical="center"/>
    </xf>
    <xf numFmtId="165" fontId="13" fillId="5" borderId="12" xfId="1" applyNumberFormat="1" applyFont="1" applyFill="1" applyBorder="1" applyAlignment="1" applyProtection="1">
      <alignment vertical="center"/>
    </xf>
    <xf numFmtId="0" fontId="36" fillId="4" borderId="12" xfId="0" applyFont="1" applyFill="1" applyBorder="1" applyAlignment="1" applyProtection="1">
      <alignment horizontal="center" vertical="center"/>
    </xf>
    <xf numFmtId="0" fontId="13" fillId="5"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xf>
    <xf numFmtId="0" fontId="13" fillId="5" borderId="0" xfId="0" applyFont="1" applyFill="1" applyBorder="1" applyAlignment="1" applyProtection="1">
      <alignment vertical="center"/>
    </xf>
    <xf numFmtId="0" fontId="36" fillId="5" borderId="10" xfId="0" applyFont="1" applyFill="1" applyBorder="1" applyAlignment="1" applyProtection="1">
      <alignment vertical="center"/>
    </xf>
    <xf numFmtId="0" fontId="13" fillId="4" borderId="11" xfId="0" applyFont="1" applyFill="1" applyBorder="1" applyAlignment="1" applyProtection="1">
      <alignment horizontal="right" vertical="center" wrapText="1"/>
    </xf>
    <xf numFmtId="0" fontId="13" fillId="4" borderId="11" xfId="0" applyFont="1" applyFill="1" applyBorder="1" applyAlignment="1" applyProtection="1">
      <alignment horizontal="center" vertical="center"/>
    </xf>
    <xf numFmtId="0" fontId="7" fillId="5" borderId="0" xfId="0" applyFont="1" applyFill="1" applyBorder="1" applyAlignment="1" applyProtection="1">
      <alignment horizontal="right" vertical="center" wrapText="1"/>
    </xf>
    <xf numFmtId="43" fontId="18" fillId="5" borderId="11" xfId="1" applyNumberFormat="1" applyFont="1" applyFill="1" applyBorder="1" applyAlignment="1" applyProtection="1">
      <alignment vertical="center"/>
    </xf>
    <xf numFmtId="0" fontId="13" fillId="4" borderId="12" xfId="0" applyFont="1" applyFill="1" applyBorder="1" applyAlignment="1" applyProtection="1">
      <alignment horizontal="right" vertical="center" wrapText="1"/>
    </xf>
    <xf numFmtId="10" fontId="13" fillId="12" borderId="10" xfId="6" applyNumberFormat="1" applyFont="1" applyFill="1" applyBorder="1" applyAlignment="1" applyProtection="1">
      <alignment vertical="center" wrapText="1"/>
      <protection locked="0"/>
    </xf>
    <xf numFmtId="0" fontId="7" fillId="5" borderId="12" xfId="0" applyFont="1" applyFill="1" applyBorder="1" applyAlignment="1" applyProtection="1">
      <alignment horizontal="left" vertical="center"/>
    </xf>
    <xf numFmtId="0" fontId="13" fillId="5" borderId="10" xfId="0" applyFont="1" applyFill="1" applyBorder="1" applyAlignment="1" applyProtection="1">
      <alignment vertical="center"/>
    </xf>
    <xf numFmtId="0" fontId="13" fillId="4" borderId="0" xfId="0" applyFont="1" applyFill="1" applyAlignment="1" applyProtection="1">
      <alignment horizontal="left" vertical="center"/>
    </xf>
    <xf numFmtId="9" fontId="13" fillId="4" borderId="0" xfId="0" applyNumberFormat="1" applyFont="1" applyFill="1" applyAlignment="1" applyProtection="1">
      <alignment vertical="center"/>
    </xf>
    <xf numFmtId="166" fontId="13" fillId="11" borderId="23" xfId="1" applyNumberFormat="1" applyFont="1" applyFill="1" applyBorder="1" applyAlignment="1" applyProtection="1">
      <alignment vertical="center"/>
    </xf>
    <xf numFmtId="170" fontId="13" fillId="11" borderId="11" xfId="0" applyNumberFormat="1" applyFont="1" applyFill="1" applyBorder="1"/>
    <xf numFmtId="170" fontId="13" fillId="11" borderId="0" xfId="0" applyNumberFormat="1" applyFont="1" applyFill="1" applyBorder="1"/>
    <xf numFmtId="170" fontId="13" fillId="11" borderId="12" xfId="0" applyNumberFormat="1" applyFont="1" applyFill="1" applyBorder="1"/>
    <xf numFmtId="0" fontId="13" fillId="5" borderId="11" xfId="0" applyFont="1" applyFill="1" applyBorder="1" applyAlignment="1" applyProtection="1">
      <alignment horizontal="center" vertical="center"/>
    </xf>
    <xf numFmtId="0" fontId="34" fillId="5" borderId="11" xfId="0" applyFont="1" applyFill="1" applyBorder="1" applyAlignment="1" applyProtection="1">
      <alignment horizontal="center" vertical="center"/>
    </xf>
    <xf numFmtId="170" fontId="13" fillId="11" borderId="10" xfId="1" applyNumberFormat="1" applyFont="1" applyFill="1" applyBorder="1" applyAlignment="1" applyProtection="1">
      <alignment vertical="center"/>
    </xf>
    <xf numFmtId="175" fontId="13" fillId="5" borderId="11" xfId="1" applyNumberFormat="1" applyFont="1" applyFill="1" applyBorder="1" applyAlignment="1" applyProtection="1">
      <alignment vertical="center"/>
    </xf>
    <xf numFmtId="170" fontId="13" fillId="11" borderId="0" xfId="1" applyNumberFormat="1" applyFont="1" applyFill="1" applyBorder="1" applyAlignment="1" applyProtection="1">
      <alignment vertical="center"/>
    </xf>
    <xf numFmtId="170" fontId="13" fillId="11" borderId="12" xfId="1" applyNumberFormat="1" applyFont="1" applyFill="1" applyBorder="1" applyAlignment="1" applyProtection="1">
      <alignment vertical="center"/>
    </xf>
    <xf numFmtId="170" fontId="13" fillId="11" borderId="11" xfId="1" applyNumberFormat="1" applyFont="1" applyFill="1" applyBorder="1" applyAlignment="1" applyProtection="1">
      <alignment vertical="center"/>
    </xf>
    <xf numFmtId="10" fontId="13" fillId="11" borderId="12" xfId="1" applyNumberFormat="1" applyFont="1" applyFill="1" applyBorder="1" applyAlignment="1" applyProtection="1">
      <alignment vertical="center"/>
    </xf>
    <xf numFmtId="170" fontId="34" fillId="11" borderId="10" xfId="1" applyNumberFormat="1" applyFont="1" applyFill="1" applyBorder="1" applyAlignment="1" applyProtection="1">
      <alignment vertical="center"/>
    </xf>
    <xf numFmtId="175" fontId="34" fillId="12" borderId="10" xfId="8" applyNumberFormat="1" applyFont="1" applyFill="1" applyBorder="1" applyAlignment="1" applyProtection="1">
      <alignment vertical="center" wrapText="1"/>
      <protection locked="0"/>
    </xf>
    <xf numFmtId="170" fontId="13" fillId="12" borderId="11" xfId="8" applyNumberFormat="1" applyFont="1" applyFill="1" applyBorder="1" applyAlignment="1" applyProtection="1">
      <alignment vertical="center" wrapText="1"/>
      <protection locked="0"/>
    </xf>
    <xf numFmtId="170" fontId="13" fillId="12" borderId="0" xfId="8" applyNumberFormat="1" applyFont="1" applyFill="1" applyBorder="1" applyAlignment="1" applyProtection="1">
      <alignment vertical="center" wrapText="1"/>
      <protection locked="0"/>
    </xf>
    <xf numFmtId="170" fontId="13" fillId="12" borderId="12" xfId="8" applyNumberFormat="1" applyFont="1" applyFill="1" applyBorder="1" applyAlignment="1" applyProtection="1">
      <alignment vertical="center" wrapText="1"/>
      <protection locked="0"/>
    </xf>
    <xf numFmtId="170" fontId="13" fillId="12" borderId="10" xfId="8" applyNumberFormat="1" applyFont="1" applyFill="1" applyBorder="1" applyAlignment="1" applyProtection="1">
      <alignment vertical="center" wrapText="1"/>
      <protection locked="0"/>
    </xf>
    <xf numFmtId="170" fontId="18" fillId="5" borderId="11" xfId="1" applyNumberFormat="1" applyFont="1" applyFill="1" applyBorder="1" applyAlignment="1" applyProtection="1">
      <alignment vertical="center"/>
    </xf>
    <xf numFmtId="170" fontId="13" fillId="12" borderId="10" xfId="1" applyNumberFormat="1" applyFont="1" applyFill="1" applyBorder="1" applyAlignment="1" applyProtection="1">
      <alignment vertical="center" wrapText="1"/>
      <protection locked="0"/>
    </xf>
    <xf numFmtId="10" fontId="13" fillId="11" borderId="0" xfId="1" applyNumberFormat="1" applyFont="1" applyFill="1" applyBorder="1" applyAlignment="1" applyProtection="1">
      <alignment vertical="center"/>
    </xf>
    <xf numFmtId="10" fontId="13" fillId="12" borderId="11" xfId="1" applyNumberFormat="1" applyFont="1" applyFill="1" applyBorder="1" applyAlignment="1" applyProtection="1">
      <alignment vertical="center" wrapText="1"/>
      <protection locked="0"/>
    </xf>
    <xf numFmtId="10" fontId="13" fillId="12" borderId="0" xfId="1" applyNumberFormat="1" applyFont="1" applyFill="1" applyBorder="1" applyAlignment="1" applyProtection="1">
      <alignment vertical="center" wrapText="1"/>
      <protection locked="0"/>
    </xf>
    <xf numFmtId="10" fontId="13" fillId="12" borderId="12" xfId="1" applyNumberFormat="1" applyFont="1" applyFill="1" applyBorder="1" applyAlignment="1" applyProtection="1">
      <alignment vertical="center" wrapText="1"/>
      <protection locked="0"/>
    </xf>
    <xf numFmtId="170" fontId="13" fillId="12" borderId="0" xfId="1" applyNumberFormat="1" applyFont="1" applyFill="1" applyBorder="1" applyAlignment="1" applyProtection="1">
      <alignment vertical="center" wrapText="1"/>
      <protection locked="0"/>
    </xf>
    <xf numFmtId="0" fontId="13" fillId="5" borderId="12" xfId="0" applyFont="1" applyFill="1" applyBorder="1" applyAlignment="1" applyProtection="1">
      <alignment vertical="center"/>
    </xf>
    <xf numFmtId="0" fontId="20" fillId="2" borderId="0" xfId="10" applyFont="1" applyFill="1" applyAlignment="1" applyProtection="1">
      <alignment vertical="center"/>
    </xf>
    <xf numFmtId="0" fontId="21" fillId="2" borderId="0" xfId="10" applyFont="1" applyFill="1" applyAlignment="1" applyProtection="1">
      <alignment vertical="center"/>
    </xf>
    <xf numFmtId="0" fontId="22" fillId="2" borderId="0" xfId="10" applyFont="1" applyFill="1" applyAlignment="1" applyProtection="1">
      <alignment vertical="center"/>
    </xf>
    <xf numFmtId="0" fontId="23" fillId="2" borderId="0" xfId="10" applyFont="1" applyFill="1" applyAlignment="1" applyProtection="1">
      <alignment vertical="center"/>
    </xf>
    <xf numFmtId="0" fontId="24" fillId="2" borderId="0" xfId="10" applyFont="1" applyFill="1" applyAlignment="1" applyProtection="1">
      <alignment vertical="center"/>
    </xf>
    <xf numFmtId="0" fontId="7" fillId="4" borderId="0" xfId="10" applyFont="1" applyFill="1" applyAlignment="1" applyProtection="1">
      <alignment vertical="center"/>
    </xf>
    <xf numFmtId="0" fontId="29" fillId="4" borderId="0" xfId="10" applyFont="1" applyFill="1" applyAlignment="1" applyProtection="1">
      <alignment vertical="center"/>
    </xf>
    <xf numFmtId="0" fontId="0" fillId="4" borderId="0" xfId="0" applyFill="1" applyAlignment="1" applyProtection="1">
      <alignment vertical="center"/>
    </xf>
    <xf numFmtId="0" fontId="19" fillId="4" borderId="0" xfId="10" applyFont="1" applyFill="1" applyAlignment="1" applyProtection="1">
      <alignment vertical="center"/>
    </xf>
    <xf numFmtId="170" fontId="31" fillId="11" borderId="1" xfId="12" applyNumberFormat="1" applyFont="1" applyFill="1" applyBorder="1" applyAlignment="1" applyProtection="1">
      <alignment horizontal="center" vertical="center"/>
    </xf>
    <xf numFmtId="0" fontId="13" fillId="11" borderId="18" xfId="0" applyNumberFormat="1" applyFont="1" applyFill="1" applyBorder="1" applyAlignment="1" applyProtection="1">
      <alignment vertical="center"/>
    </xf>
    <xf numFmtId="0" fontId="13" fillId="11" borderId="10" xfId="0" applyNumberFormat="1" applyFont="1" applyFill="1" applyBorder="1" applyAlignment="1" applyProtection="1">
      <alignment vertical="center"/>
    </xf>
    <xf numFmtId="0" fontId="13" fillId="11" borderId="19" xfId="0" applyNumberFormat="1" applyFont="1" applyFill="1" applyBorder="1" applyAlignment="1" applyProtection="1">
      <alignment vertical="center"/>
    </xf>
    <xf numFmtId="0" fontId="13" fillId="0" borderId="0" xfId="4" applyFont="1" applyFill="1" applyProtection="1"/>
    <xf numFmtId="0" fontId="13" fillId="0" borderId="0" xfId="4" applyFont="1" applyProtection="1"/>
    <xf numFmtId="0" fontId="13" fillId="0" borderId="1" xfId="4" applyFont="1" applyBorder="1" applyAlignment="1" applyProtection="1">
      <alignment horizontal="center"/>
    </xf>
    <xf numFmtId="0" fontId="7" fillId="4" borderId="0" xfId="10" applyFill="1" applyAlignment="1" applyProtection="1">
      <alignment vertical="center"/>
    </xf>
    <xf numFmtId="0" fontId="7" fillId="4" borderId="1" xfId="10" applyFill="1" applyBorder="1" applyAlignment="1" applyProtection="1">
      <alignment vertical="center"/>
    </xf>
    <xf numFmtId="0" fontId="13" fillId="0" borderId="1" xfId="10" applyFont="1" applyBorder="1" applyAlignment="1" applyProtection="1">
      <alignment vertical="center"/>
    </xf>
    <xf numFmtId="0" fontId="13" fillId="8" borderId="1" xfId="10" applyFont="1" applyFill="1" applyBorder="1" applyAlignment="1" applyProtection="1">
      <alignment horizontal="left" vertical="center"/>
    </xf>
    <xf numFmtId="171" fontId="13" fillId="8" borderId="1" xfId="10" applyNumberFormat="1" applyFont="1" applyFill="1" applyBorder="1" applyAlignment="1" applyProtection="1">
      <alignment horizontal="left" vertical="center"/>
    </xf>
    <xf numFmtId="0" fontId="42" fillId="4" borderId="0" xfId="0" applyFont="1" applyFill="1" applyAlignment="1" applyProtection="1">
      <alignment vertical="center"/>
    </xf>
    <xf numFmtId="0" fontId="7" fillId="4" borderId="1" xfId="10" applyFill="1" applyBorder="1" applyAlignment="1" applyProtection="1">
      <alignment vertical="center" wrapText="1"/>
    </xf>
    <xf numFmtId="0" fontId="13" fillId="3" borderId="1" xfId="12" applyNumberFormat="1" applyFont="1" applyFill="1" applyBorder="1" applyAlignment="1" applyProtection="1">
      <alignment vertical="center"/>
      <protection locked="0"/>
    </xf>
    <xf numFmtId="0" fontId="13" fillId="2" borderId="0" xfId="10" applyFont="1" applyFill="1" applyAlignment="1" applyProtection="1">
      <alignment vertical="center"/>
    </xf>
    <xf numFmtId="0" fontId="34" fillId="4" borderId="0" xfId="0" applyFont="1" applyFill="1" applyAlignment="1" applyProtection="1">
      <alignment horizontal="right"/>
    </xf>
    <xf numFmtId="0" fontId="13" fillId="4" borderId="0" xfId="0" applyFont="1" applyFill="1" applyBorder="1" applyAlignment="1" applyProtection="1">
      <alignment horizontal="center"/>
    </xf>
    <xf numFmtId="43" fontId="13" fillId="4" borderId="10" xfId="1" applyFont="1" applyFill="1" applyBorder="1" applyProtection="1"/>
    <xf numFmtId="0" fontId="36" fillId="5" borderId="11" xfId="0" applyFont="1" applyFill="1" applyBorder="1" applyAlignment="1" applyProtection="1">
      <alignment horizontal="left" vertical="top"/>
    </xf>
    <xf numFmtId="170" fontId="13" fillId="13" borderId="0" xfId="4" applyNumberFormat="1" applyFont="1" applyFill="1" applyBorder="1" applyProtection="1"/>
    <xf numFmtId="10" fontId="13" fillId="13" borderId="10" xfId="4" applyNumberFormat="1" applyFont="1" applyFill="1" applyBorder="1" applyProtection="1"/>
    <xf numFmtId="0" fontId="13" fillId="5" borderId="11" xfId="0" applyFont="1" applyFill="1" applyBorder="1" applyAlignment="1" applyProtection="1">
      <alignment horizontal="center"/>
    </xf>
    <xf numFmtId="0" fontId="34" fillId="5" borderId="11" xfId="0" applyFont="1" applyFill="1" applyBorder="1" applyAlignment="1" applyProtection="1">
      <alignment horizontal="right"/>
    </xf>
    <xf numFmtId="0" fontId="34" fillId="5" borderId="0" xfId="0" applyFont="1" applyFill="1" applyBorder="1" applyAlignment="1" applyProtection="1">
      <alignment horizontal="right"/>
    </xf>
    <xf numFmtId="0" fontId="34" fillId="5" borderId="11" xfId="0" applyFont="1" applyFill="1" applyBorder="1" applyAlignment="1" applyProtection="1">
      <alignment horizontal="center"/>
    </xf>
    <xf numFmtId="0" fontId="7" fillId="4" borderId="11" xfId="0" applyFont="1" applyFill="1" applyBorder="1" applyAlignment="1" applyProtection="1">
      <alignment horizontal="right" vertical="top" wrapText="1"/>
    </xf>
    <xf numFmtId="170" fontId="13" fillId="11" borderId="11" xfId="4" applyNumberFormat="1" applyFont="1" applyFill="1" applyBorder="1" applyProtection="1"/>
    <xf numFmtId="165" fontId="13" fillId="4" borderId="11" xfId="1" applyNumberFormat="1" applyFont="1" applyFill="1" applyBorder="1" applyProtection="1"/>
    <xf numFmtId="170" fontId="13" fillId="11" borderId="0" xfId="4" applyNumberFormat="1" applyFont="1" applyFill="1" applyBorder="1" applyProtection="1"/>
    <xf numFmtId="169" fontId="13" fillId="13" borderId="12" xfId="4" applyNumberFormat="1" applyFont="1" applyFill="1" applyBorder="1" applyProtection="1"/>
    <xf numFmtId="43" fontId="13" fillId="4" borderId="12" xfId="1" applyFont="1" applyFill="1" applyBorder="1" applyProtection="1"/>
    <xf numFmtId="0" fontId="13" fillId="4" borderId="1" xfId="0" applyFont="1" applyFill="1" applyBorder="1" applyAlignment="1" applyProtection="1">
      <alignment horizontal="right" vertical="center"/>
    </xf>
    <xf numFmtId="0" fontId="13"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xf>
    <xf numFmtId="0" fontId="13" fillId="4" borderId="1" xfId="0" applyFont="1" applyFill="1" applyBorder="1" applyProtection="1"/>
    <xf numFmtId="0" fontId="13" fillId="4" borderId="1" xfId="0" applyFont="1" applyFill="1" applyBorder="1" applyAlignment="1" applyProtection="1">
      <alignment horizontal="right"/>
    </xf>
    <xf numFmtId="0" fontId="13" fillId="4" borderId="1" xfId="0" applyFont="1" applyFill="1" applyBorder="1" applyAlignment="1" applyProtection="1">
      <alignment horizontal="center"/>
    </xf>
    <xf numFmtId="10" fontId="13" fillId="13" borderId="19" xfId="4" applyNumberFormat="1" applyFont="1" applyFill="1" applyBorder="1" applyProtection="1"/>
    <xf numFmtId="0" fontId="13" fillId="5" borderId="10" xfId="0" applyFont="1" applyFill="1" applyBorder="1" applyAlignment="1" applyProtection="1">
      <alignment horizontal="center"/>
    </xf>
    <xf numFmtId="166" fontId="13" fillId="5" borderId="10" xfId="1" applyNumberFormat="1" applyFont="1" applyFill="1" applyBorder="1" applyProtection="1"/>
    <xf numFmtId="0" fontId="34" fillId="4" borderId="0" xfId="0" applyFont="1" applyFill="1" applyAlignment="1" applyProtection="1">
      <alignment horizontal="left"/>
    </xf>
    <xf numFmtId="0" fontId="13" fillId="4" borderId="1" xfId="0" applyFont="1" applyFill="1" applyBorder="1" applyAlignment="1" applyProtection="1">
      <alignment horizontal="left" vertical="center"/>
    </xf>
    <xf numFmtId="0" fontId="13" fillId="4" borderId="1" xfId="0" applyFont="1" applyFill="1" applyBorder="1" applyAlignment="1" applyProtection="1">
      <alignment horizontal="left" wrapText="1"/>
    </xf>
    <xf numFmtId="10" fontId="13" fillId="13" borderId="1" xfId="4" applyNumberFormat="1" applyFont="1" applyFill="1" applyBorder="1" applyProtection="1"/>
    <xf numFmtId="166" fontId="13" fillId="4" borderId="0" xfId="1" applyNumberFormat="1" applyFont="1" applyFill="1" applyProtection="1"/>
    <xf numFmtId="169" fontId="13" fillId="13" borderId="1" xfId="4" applyNumberFormat="1" applyFont="1" applyFill="1" applyBorder="1" applyProtection="1"/>
    <xf numFmtId="0" fontId="13" fillId="4" borderId="14" xfId="0" applyFont="1" applyFill="1" applyBorder="1" applyAlignment="1" applyProtection="1">
      <alignment horizontal="center"/>
    </xf>
    <xf numFmtId="0" fontId="33" fillId="5" borderId="10" xfId="0" applyFont="1" applyFill="1" applyBorder="1" applyProtection="1"/>
    <xf numFmtId="0" fontId="13" fillId="4" borderId="0" xfId="0" applyFont="1" applyFill="1" applyAlignment="1" applyProtection="1">
      <alignment vertical="center"/>
      <protection locked="0"/>
    </xf>
    <xf numFmtId="0" fontId="42" fillId="4" borderId="0" xfId="0" applyFont="1" applyFill="1" applyAlignment="1" applyProtection="1">
      <alignment vertical="center"/>
      <protection locked="0"/>
    </xf>
    <xf numFmtId="0" fontId="41" fillId="4" borderId="0" xfId="0" applyFont="1" applyFill="1" applyProtection="1"/>
    <xf numFmtId="0" fontId="18" fillId="4" borderId="0" xfId="0" applyFont="1" applyFill="1" applyProtection="1"/>
    <xf numFmtId="0" fontId="18" fillId="4" borderId="0" xfId="0" applyFont="1" applyFill="1" applyAlignment="1" applyProtection="1">
      <alignment wrapText="1"/>
    </xf>
    <xf numFmtId="0" fontId="34" fillId="4" borderId="0" xfId="0" applyFont="1" applyFill="1" applyAlignment="1" applyProtection="1">
      <alignment horizontal="center"/>
    </xf>
    <xf numFmtId="0" fontId="7" fillId="4" borderId="0" xfId="0" applyFont="1" applyFill="1" applyProtection="1"/>
    <xf numFmtId="170" fontId="13" fillId="4" borderId="0" xfId="0" applyNumberFormat="1" applyFont="1" applyFill="1" applyBorder="1" applyProtection="1"/>
    <xf numFmtId="170" fontId="13" fillId="11" borderId="1" xfId="0" applyNumberFormat="1" applyFont="1" applyFill="1" applyBorder="1" applyProtection="1"/>
    <xf numFmtId="170" fontId="13" fillId="4" borderId="0" xfId="0" applyNumberFormat="1" applyFont="1" applyFill="1" applyProtection="1"/>
    <xf numFmtId="0" fontId="13" fillId="4" borderId="0" xfId="0" applyFont="1" applyFill="1" applyProtection="1">
      <protection locked="0"/>
    </xf>
    <xf numFmtId="0" fontId="13" fillId="4" borderId="0" xfId="12" applyNumberFormat="1" applyFont="1" applyFill="1" applyBorder="1" applyAlignment="1" applyProtection="1">
      <alignment vertical="center"/>
    </xf>
    <xf numFmtId="166" fontId="13" fillId="4" borderId="0" xfId="0" applyNumberFormat="1" applyFont="1" applyFill="1" applyBorder="1" applyAlignment="1" applyProtection="1">
      <alignment vertical="center"/>
    </xf>
    <xf numFmtId="0" fontId="13" fillId="4" borderId="0" xfId="0" applyFont="1" applyFill="1" applyAlignment="1" applyProtection="1">
      <alignment horizontal="right" vertical="center"/>
    </xf>
    <xf numFmtId="0" fontId="13" fillId="4" borderId="13" xfId="0" applyFont="1" applyFill="1" applyBorder="1" applyAlignment="1" applyProtection="1">
      <alignment horizontal="right" vertical="center"/>
    </xf>
    <xf numFmtId="0" fontId="13" fillId="0" borderId="1" xfId="0" applyFont="1" applyFill="1" applyBorder="1" applyAlignment="1" applyProtection="1">
      <alignment vertical="center" wrapText="1"/>
    </xf>
    <xf numFmtId="0" fontId="13" fillId="0" borderId="1" xfId="0" quotePrefix="1" applyFont="1" applyBorder="1" applyAlignment="1" applyProtection="1">
      <alignment vertical="center" wrapText="1"/>
    </xf>
    <xf numFmtId="0" fontId="13" fillId="0" borderId="1" xfId="0" applyFont="1" applyBorder="1" applyAlignment="1" applyProtection="1">
      <alignment vertical="center" wrapText="1"/>
    </xf>
    <xf numFmtId="166" fontId="13" fillId="11" borderId="11" xfId="1" applyNumberFormat="1" applyFont="1" applyFill="1" applyBorder="1" applyAlignment="1" applyProtection="1">
      <alignment vertical="center"/>
    </xf>
    <xf numFmtId="10" fontId="13" fillId="11" borderId="14" xfId="6" applyNumberFormat="1" applyFont="1" applyFill="1" applyBorder="1" applyAlignment="1" applyProtection="1">
      <alignment vertical="center"/>
    </xf>
    <xf numFmtId="166" fontId="13" fillId="11" borderId="0" xfId="1" applyNumberFormat="1" applyFont="1" applyFill="1" applyBorder="1" applyAlignment="1" applyProtection="1">
      <alignment vertical="center"/>
    </xf>
    <xf numFmtId="10" fontId="13" fillId="11" borderId="13" xfId="6" applyNumberFormat="1" applyFont="1" applyFill="1" applyBorder="1" applyAlignment="1" applyProtection="1">
      <alignment vertical="center"/>
    </xf>
    <xf numFmtId="166" fontId="13" fillId="11" borderId="20" xfId="1" applyNumberFormat="1" applyFont="1" applyFill="1" applyBorder="1" applyAlignment="1" applyProtection="1">
      <alignment vertical="center"/>
    </xf>
    <xf numFmtId="0" fontId="13" fillId="4" borderId="16" xfId="0" applyFont="1" applyFill="1" applyBorder="1" applyAlignment="1" applyProtection="1">
      <alignment vertical="center"/>
    </xf>
    <xf numFmtId="0" fontId="13" fillId="4" borderId="12" xfId="0" applyFont="1" applyFill="1" applyBorder="1" applyAlignment="1" applyProtection="1">
      <alignment vertical="center"/>
    </xf>
    <xf numFmtId="166" fontId="13" fillId="11" borderId="22" xfId="1" applyNumberFormat="1" applyFont="1" applyFill="1" applyBorder="1" applyAlignment="1" applyProtection="1">
      <alignment vertical="center"/>
    </xf>
    <xf numFmtId="166" fontId="13" fillId="11" borderId="15" xfId="1" applyNumberFormat="1" applyFont="1" applyFill="1" applyBorder="1" applyAlignment="1" applyProtection="1">
      <alignment vertical="center"/>
    </xf>
    <xf numFmtId="166" fontId="13" fillId="11" borderId="17" xfId="1" applyNumberFormat="1" applyFont="1" applyFill="1" applyBorder="1" applyAlignment="1" applyProtection="1">
      <alignment vertical="center"/>
    </xf>
    <xf numFmtId="166" fontId="13" fillId="11" borderId="12" xfId="1" applyNumberFormat="1" applyFont="1" applyFill="1" applyBorder="1" applyAlignment="1" applyProtection="1">
      <alignment vertical="center"/>
    </xf>
    <xf numFmtId="164" fontId="13" fillId="11" borderId="15" xfId="6" applyNumberFormat="1" applyFont="1" applyFill="1" applyBorder="1" applyAlignment="1" applyProtection="1">
      <alignment vertical="center"/>
    </xf>
    <xf numFmtId="43" fontId="13" fillId="4" borderId="0" xfId="0" applyNumberFormat="1" applyFont="1" applyFill="1" applyBorder="1" applyAlignment="1" applyProtection="1">
      <alignment vertical="center"/>
    </xf>
    <xf numFmtId="166" fontId="13" fillId="4" borderId="0" xfId="1" applyNumberFormat="1" applyFont="1" applyFill="1" applyBorder="1" applyAlignment="1" applyProtection="1">
      <alignment vertical="center"/>
    </xf>
    <xf numFmtId="166" fontId="13" fillId="4" borderId="0" xfId="0" applyNumberFormat="1" applyFont="1" applyFill="1" applyAlignment="1" applyProtection="1">
      <alignment vertical="center"/>
    </xf>
    <xf numFmtId="10" fontId="13" fillId="11" borderId="14" xfId="1" applyNumberFormat="1" applyFont="1" applyFill="1" applyBorder="1" applyAlignment="1" applyProtection="1">
      <alignment vertical="center"/>
    </xf>
    <xf numFmtId="166" fontId="13" fillId="12" borderId="1" xfId="1" applyNumberFormat="1" applyFont="1" applyFill="1" applyBorder="1" applyAlignment="1" applyProtection="1">
      <alignment vertical="center"/>
      <protection locked="0"/>
    </xf>
    <xf numFmtId="0" fontId="7" fillId="4" borderId="0" xfId="0" applyFont="1" applyFill="1" applyAlignment="1" applyProtection="1">
      <alignment vertical="center"/>
    </xf>
    <xf numFmtId="0" fontId="13" fillId="3" borderId="1" xfId="12" applyNumberFormat="1" applyFont="1" applyFill="1" applyBorder="1" applyAlignment="1" applyProtection="1">
      <alignment horizontal="center" vertical="center"/>
      <protection locked="0"/>
    </xf>
    <xf numFmtId="0" fontId="36" fillId="4" borderId="0" xfId="0" applyFont="1" applyFill="1" applyBorder="1" applyAlignment="1" applyProtection="1">
      <alignment horizontal="right" vertical="center"/>
    </xf>
    <xf numFmtId="0" fontId="36" fillId="4" borderId="12" xfId="0" applyFont="1" applyFill="1" applyBorder="1" applyAlignment="1" applyProtection="1">
      <alignment horizontal="right" vertical="center"/>
    </xf>
    <xf numFmtId="0" fontId="36" fillId="4" borderId="10" xfId="0" applyFont="1" applyFill="1" applyBorder="1" applyAlignment="1" applyProtection="1">
      <alignment horizontal="right" vertical="center"/>
    </xf>
    <xf numFmtId="0" fontId="34" fillId="4" borderId="10" xfId="0" applyFont="1" applyFill="1" applyBorder="1" applyAlignment="1" applyProtection="1">
      <alignment horizontal="right" vertical="center"/>
    </xf>
    <xf numFmtId="0" fontId="13" fillId="5" borderId="0" xfId="0" applyFont="1" applyFill="1" applyBorder="1" applyAlignment="1" applyProtection="1">
      <alignment horizontal="right" vertical="center"/>
    </xf>
    <xf numFmtId="0" fontId="13" fillId="5" borderId="10" xfId="0" applyFont="1" applyFill="1" applyBorder="1" applyAlignment="1" applyProtection="1">
      <alignment horizontal="right" vertical="center"/>
    </xf>
    <xf numFmtId="0" fontId="13" fillId="4" borderId="0" xfId="0" applyFont="1" applyFill="1" applyBorder="1" applyAlignment="1" applyProtection="1">
      <alignment horizontal="right" vertical="center"/>
    </xf>
    <xf numFmtId="0" fontId="13" fillId="4" borderId="12" xfId="0" applyFont="1" applyFill="1" applyBorder="1" applyAlignment="1" applyProtection="1">
      <alignment horizontal="right" vertical="center"/>
    </xf>
    <xf numFmtId="0" fontId="13" fillId="5" borderId="12" xfId="0" applyFont="1" applyFill="1" applyBorder="1" applyAlignment="1" applyProtection="1">
      <alignment horizontal="right" vertical="center"/>
    </xf>
    <xf numFmtId="0" fontId="13" fillId="4" borderId="11" xfId="0" applyFont="1" applyFill="1" applyBorder="1" applyAlignment="1" applyProtection="1">
      <alignment horizontal="right" vertical="center"/>
    </xf>
    <xf numFmtId="0" fontId="36" fillId="5" borderId="10" xfId="0" applyFont="1" applyFill="1" applyBorder="1" applyAlignment="1" applyProtection="1">
      <alignment horizontal="right" vertical="center"/>
    </xf>
    <xf numFmtId="0" fontId="34" fillId="4" borderId="10" xfId="0" applyFont="1" applyFill="1" applyBorder="1" applyAlignment="1" applyProtection="1">
      <alignment vertical="center"/>
    </xf>
    <xf numFmtId="0" fontId="18" fillId="5" borderId="0" xfId="0" applyFont="1" applyFill="1" applyBorder="1" applyAlignment="1" applyProtection="1">
      <alignment horizontal="left" vertical="center"/>
    </xf>
    <xf numFmtId="0" fontId="18" fillId="4" borderId="0" xfId="0" applyFont="1" applyFill="1" applyBorder="1" applyAlignment="1" applyProtection="1">
      <alignment vertical="center"/>
    </xf>
    <xf numFmtId="165" fontId="13" fillId="5" borderId="10" xfId="1" applyNumberFormat="1" applyFont="1" applyFill="1" applyBorder="1" applyAlignment="1" applyProtection="1">
      <alignment vertical="center"/>
    </xf>
    <xf numFmtId="0" fontId="13" fillId="4" borderId="10" xfId="0" applyFont="1" applyFill="1" applyBorder="1" applyAlignment="1" applyProtection="1">
      <alignment horizontal="center" vertical="center" wrapText="1"/>
    </xf>
    <xf numFmtId="174" fontId="13" fillId="11" borderId="0" xfId="1" applyNumberFormat="1" applyFont="1" applyFill="1" applyBorder="1" applyAlignment="1" applyProtection="1">
      <alignment vertical="center"/>
    </xf>
    <xf numFmtId="174" fontId="13" fillId="11" borderId="12" xfId="1" applyNumberFormat="1" applyFont="1" applyFill="1" applyBorder="1" applyAlignment="1" applyProtection="1">
      <alignment vertical="center"/>
    </xf>
    <xf numFmtId="174" fontId="13" fillId="12" borderId="12" xfId="1" applyNumberFormat="1" applyFont="1" applyFill="1" applyBorder="1" applyAlignment="1" applyProtection="1">
      <alignment vertical="center" wrapText="1"/>
      <protection locked="0"/>
    </xf>
    <xf numFmtId="174" fontId="13" fillId="12" borderId="11" xfId="1" applyNumberFormat="1" applyFont="1" applyFill="1" applyBorder="1" applyAlignment="1" applyProtection="1">
      <alignment horizontal="left" vertical="center"/>
      <protection locked="0"/>
    </xf>
    <xf numFmtId="0" fontId="13" fillId="4" borderId="1" xfId="0" applyFont="1" applyFill="1" applyBorder="1" applyAlignment="1" applyProtection="1">
      <alignment horizontal="left"/>
    </xf>
    <xf numFmtId="0" fontId="13" fillId="4" borderId="14" xfId="0" applyFont="1" applyFill="1" applyBorder="1" applyAlignment="1" applyProtection="1">
      <alignment horizontal="left"/>
    </xf>
    <xf numFmtId="0" fontId="36" fillId="4" borderId="10" xfId="0" applyFont="1" applyFill="1" applyBorder="1" applyAlignment="1" applyProtection="1">
      <alignment vertical="top"/>
    </xf>
    <xf numFmtId="0" fontId="36" fillId="4" borderId="10" xfId="0" applyFont="1" applyFill="1" applyBorder="1" applyAlignment="1" applyProtection="1">
      <alignment horizontal="center" vertical="center"/>
    </xf>
    <xf numFmtId="164" fontId="13" fillId="11" borderId="22" xfId="6" applyNumberFormat="1" applyFont="1" applyFill="1" applyBorder="1" applyAlignment="1" applyProtection="1">
      <alignment vertical="center"/>
    </xf>
    <xf numFmtId="10" fontId="13" fillId="11" borderId="1" xfId="1" applyNumberFormat="1" applyFont="1" applyFill="1" applyBorder="1" applyAlignment="1" applyProtection="1">
      <alignment vertical="center"/>
    </xf>
    <xf numFmtId="0" fontId="13" fillId="4" borderId="19" xfId="0" applyFont="1" applyFill="1" applyBorder="1" applyAlignment="1" applyProtection="1">
      <alignment horizontal="right" vertical="center"/>
    </xf>
    <xf numFmtId="0" fontId="13" fillId="4" borderId="11" xfId="0" applyFont="1" applyFill="1" applyBorder="1" applyAlignment="1">
      <alignment horizontal="left" wrapText="1"/>
    </xf>
    <xf numFmtId="164" fontId="13" fillId="12" borderId="10" xfId="6" applyNumberFormat="1" applyFont="1" applyFill="1" applyBorder="1" applyProtection="1">
      <protection locked="0"/>
    </xf>
    <xf numFmtId="2" fontId="13" fillId="12" borderId="10" xfId="4" applyNumberFormat="1" applyFont="1" applyFill="1" applyBorder="1" applyProtection="1"/>
    <xf numFmtId="0" fontId="4" fillId="4" borderId="10" xfId="0" applyFont="1" applyFill="1" applyBorder="1" applyAlignment="1" applyProtection="1">
      <alignment horizontal="right" vertical="top" wrapText="1"/>
    </xf>
    <xf numFmtId="0" fontId="46" fillId="2" borderId="0" xfId="10" applyFont="1" applyFill="1" applyAlignment="1" applyProtection="1">
      <alignment vertical="center"/>
    </xf>
    <xf numFmtId="0" fontId="7" fillId="4" borderId="0" xfId="10" applyFont="1" applyFill="1" applyBorder="1" applyAlignment="1" applyProtection="1">
      <alignment vertical="center"/>
    </xf>
    <xf numFmtId="0" fontId="7" fillId="4" borderId="5" xfId="10" applyFont="1" applyFill="1" applyBorder="1" applyAlignment="1" applyProtection="1">
      <alignment vertical="center"/>
    </xf>
    <xf numFmtId="0" fontId="7" fillId="4" borderId="6" xfId="10" applyFont="1" applyFill="1" applyBorder="1" applyAlignment="1" applyProtection="1">
      <alignment vertical="center"/>
    </xf>
    <xf numFmtId="0" fontId="5" fillId="0" borderId="10" xfId="0" applyFont="1" applyFill="1" applyBorder="1" applyAlignment="1" applyProtection="1">
      <alignment horizontal="right" vertical="top" wrapText="1"/>
    </xf>
    <xf numFmtId="0" fontId="3" fillId="4" borderId="12" xfId="0" applyFont="1" applyFill="1" applyBorder="1" applyAlignment="1" applyProtection="1">
      <alignment horizontal="right" vertical="top" wrapText="1"/>
    </xf>
    <xf numFmtId="0" fontId="2" fillId="4" borderId="12" xfId="0" applyFont="1" applyFill="1" applyBorder="1" applyAlignment="1" applyProtection="1">
      <alignment horizontal="right" vertical="top" wrapText="1"/>
    </xf>
    <xf numFmtId="0" fontId="2" fillId="4" borderId="0" xfId="0" applyFont="1" applyFill="1" applyBorder="1" applyAlignment="1" applyProtection="1">
      <alignment horizontal="right" vertical="top" wrapText="1"/>
    </xf>
    <xf numFmtId="0" fontId="2" fillId="4" borderId="10" xfId="0" applyFont="1" applyFill="1" applyBorder="1" applyAlignment="1" applyProtection="1">
      <alignment horizontal="right" vertical="center" wrapText="1"/>
    </xf>
    <xf numFmtId="0" fontId="2" fillId="4" borderId="0" xfId="0" applyFont="1" applyFill="1" applyBorder="1" applyAlignment="1" applyProtection="1">
      <alignment horizontal="right" vertical="center" wrapText="1"/>
    </xf>
    <xf numFmtId="0" fontId="13" fillId="0" borderId="11" xfId="0" applyFont="1" applyFill="1" applyBorder="1" applyAlignment="1">
      <alignment wrapText="1"/>
    </xf>
    <xf numFmtId="0" fontId="1" fillId="4" borderId="0" xfId="0" applyFont="1" applyFill="1" applyBorder="1" applyAlignment="1" applyProtection="1">
      <alignment horizontal="right" vertical="center" wrapText="1"/>
    </xf>
    <xf numFmtId="0" fontId="7" fillId="4" borderId="5" xfId="10" applyFont="1" applyFill="1" applyBorder="1" applyAlignment="1" applyProtection="1">
      <alignment horizontal="left" vertical="center"/>
    </xf>
    <xf numFmtId="0" fontId="7" fillId="4" borderId="7" xfId="10" applyFont="1" applyFill="1" applyBorder="1" applyAlignment="1" applyProtection="1">
      <alignment horizontal="left" vertical="center"/>
    </xf>
    <xf numFmtId="0" fontId="13" fillId="12" borderId="1" xfId="0" applyFont="1" applyFill="1" applyBorder="1" applyAlignment="1" applyProtection="1">
      <alignment horizontal="center"/>
    </xf>
    <xf numFmtId="14" fontId="13" fillId="12" borderId="1" xfId="4" applyNumberFormat="1" applyFont="1" applyFill="1" applyBorder="1" applyAlignment="1" applyProtection="1">
      <alignment vertical="center"/>
      <protection locked="0"/>
    </xf>
    <xf numFmtId="14" fontId="13" fillId="12" borderId="1" xfId="4" quotePrefix="1" applyNumberFormat="1" applyFont="1" applyFill="1" applyBorder="1" applyAlignment="1" applyProtection="1">
      <alignment horizontal="center" vertical="center"/>
      <protection locked="0"/>
    </xf>
    <xf numFmtId="14" fontId="18" fillId="14" borderId="1" xfId="4" applyNumberFormat="1" applyFont="1" applyFill="1" applyBorder="1" applyAlignment="1" applyProtection="1">
      <alignment vertical="center"/>
      <protection locked="0"/>
    </xf>
    <xf numFmtId="0" fontId="44" fillId="4" borderId="2" xfId="10" applyFont="1" applyFill="1" applyBorder="1" applyAlignment="1">
      <alignment horizontal="left" vertical="center" wrapText="1"/>
    </xf>
    <xf numFmtId="0" fontId="44" fillId="4" borderId="3" xfId="10" applyFont="1" applyFill="1" applyBorder="1" applyAlignment="1">
      <alignment horizontal="left" vertical="center" wrapText="1"/>
    </xf>
    <xf numFmtId="0" fontId="44" fillId="4" borderId="4" xfId="10" applyFont="1" applyFill="1" applyBorder="1" applyAlignment="1">
      <alignment horizontal="left" vertical="center" wrapText="1"/>
    </xf>
    <xf numFmtId="0" fontId="44" fillId="4" borderId="5" xfId="10" applyFont="1" applyFill="1" applyBorder="1" applyAlignment="1">
      <alignment horizontal="left" vertical="center" wrapText="1"/>
    </xf>
    <xf numFmtId="0" fontId="44" fillId="4" borderId="0" xfId="10" applyFont="1" applyFill="1" applyBorder="1" applyAlignment="1">
      <alignment horizontal="left" vertical="center" wrapText="1"/>
    </xf>
    <xf numFmtId="0" fontId="44" fillId="4" borderId="6" xfId="10" applyFont="1" applyFill="1" applyBorder="1" applyAlignment="1">
      <alignment horizontal="left" vertical="center" wrapText="1"/>
    </xf>
    <xf numFmtId="0" fontId="44" fillId="4" borderId="7" xfId="10" applyFont="1" applyFill="1" applyBorder="1" applyAlignment="1">
      <alignment horizontal="left" vertical="center" wrapText="1"/>
    </xf>
    <xf numFmtId="0" fontId="44" fillId="4" borderId="8" xfId="10" applyFont="1" applyFill="1" applyBorder="1" applyAlignment="1">
      <alignment horizontal="left" vertical="center" wrapText="1"/>
    </xf>
    <xf numFmtId="0" fontId="44" fillId="4" borderId="9" xfId="10" applyFont="1" applyFill="1" applyBorder="1" applyAlignment="1">
      <alignment horizontal="left" vertical="center" wrapText="1"/>
    </xf>
    <xf numFmtId="0" fontId="13" fillId="4" borderId="0" xfId="10" applyFont="1" applyFill="1" applyBorder="1" applyAlignment="1">
      <alignment horizontal="left" vertical="center" wrapText="1"/>
    </xf>
    <xf numFmtId="0" fontId="7" fillId="4" borderId="0" xfId="10" applyFont="1" applyFill="1" applyAlignment="1">
      <alignment horizontal="center" vertical="center"/>
    </xf>
    <xf numFmtId="0" fontId="13" fillId="11" borderId="18" xfId="0" applyNumberFormat="1" applyFont="1" applyFill="1" applyBorder="1" applyAlignment="1" applyProtection="1">
      <alignment vertical="center"/>
    </xf>
    <xf numFmtId="0" fontId="13" fillId="11" borderId="10" xfId="0" applyNumberFormat="1" applyFont="1" applyFill="1" applyBorder="1" applyAlignment="1" applyProtection="1">
      <alignment vertical="center"/>
    </xf>
    <xf numFmtId="0" fontId="13" fillId="11" borderId="19" xfId="0" applyNumberFormat="1" applyFont="1" applyFill="1" applyBorder="1" applyAlignment="1" applyProtection="1">
      <alignment vertical="center"/>
    </xf>
    <xf numFmtId="0" fontId="19" fillId="4" borderId="0" xfId="0" applyFont="1" applyFill="1" applyAlignment="1" applyProtection="1">
      <alignment horizontal="left" vertical="center"/>
    </xf>
    <xf numFmtId="0" fontId="7" fillId="4" borderId="2" xfId="10" applyFont="1" applyFill="1" applyBorder="1" applyAlignment="1" applyProtection="1">
      <alignment horizontal="left" vertical="center" wrapText="1"/>
    </xf>
    <xf numFmtId="0" fontId="7" fillId="4" borderId="3" xfId="10" applyFont="1" applyFill="1" applyBorder="1" applyAlignment="1" applyProtection="1">
      <alignment horizontal="left" vertical="center" wrapText="1"/>
    </xf>
    <xf numFmtId="0" fontId="7" fillId="4" borderId="4" xfId="10" applyFont="1" applyFill="1" applyBorder="1" applyAlignment="1" applyProtection="1">
      <alignment horizontal="left" vertical="center" wrapText="1"/>
    </xf>
    <xf numFmtId="0" fontId="7" fillId="4" borderId="5" xfId="10" applyFont="1" applyFill="1" applyBorder="1" applyAlignment="1" applyProtection="1">
      <alignment horizontal="left" vertical="center" wrapText="1"/>
    </xf>
    <xf numFmtId="0" fontId="7" fillId="4" borderId="0" xfId="10" applyFont="1" applyFill="1" applyBorder="1" applyAlignment="1" applyProtection="1">
      <alignment horizontal="left" vertical="center" wrapText="1"/>
    </xf>
    <xf numFmtId="0" fontId="7" fillId="4" borderId="6" xfId="10" applyFont="1" applyFill="1" applyBorder="1" applyAlignment="1" applyProtection="1">
      <alignment horizontal="left" vertical="center" wrapText="1"/>
    </xf>
    <xf numFmtId="0" fontId="13" fillId="3" borderId="1" xfId="10" applyFont="1" applyFill="1" applyBorder="1" applyAlignment="1" applyProtection="1">
      <alignment vertical="center"/>
      <protection locked="0"/>
    </xf>
    <xf numFmtId="0" fontId="13" fillId="3" borderId="24" xfId="10" applyFont="1" applyFill="1" applyBorder="1" applyAlignment="1" applyProtection="1">
      <alignment vertical="center"/>
      <protection locked="0"/>
    </xf>
    <xf numFmtId="0" fontId="13" fillId="3" borderId="25" xfId="10" applyFont="1" applyFill="1" applyBorder="1" applyAlignment="1" applyProtection="1">
      <alignment vertical="center"/>
      <protection locked="0"/>
    </xf>
    <xf numFmtId="0" fontId="13" fillId="3" borderId="26" xfId="10" applyFont="1" applyFill="1" applyBorder="1" applyAlignment="1" applyProtection="1">
      <alignment vertical="center"/>
      <protection locked="0"/>
    </xf>
    <xf numFmtId="0" fontId="13" fillId="4" borderId="5" xfId="0" applyFont="1" applyFill="1" applyBorder="1" applyAlignment="1" applyProtection="1">
      <alignment horizontal="left" vertical="center" wrapText="1"/>
    </xf>
    <xf numFmtId="0" fontId="13" fillId="4" borderId="0" xfId="0" applyFont="1" applyFill="1" applyBorder="1" applyAlignment="1" applyProtection="1">
      <alignment horizontal="left" vertical="center" wrapText="1"/>
    </xf>
    <xf numFmtId="0" fontId="13" fillId="4" borderId="6" xfId="0" applyFont="1" applyFill="1" applyBorder="1" applyAlignment="1" applyProtection="1">
      <alignment horizontal="left" vertical="center" wrapText="1"/>
    </xf>
    <xf numFmtId="0" fontId="13" fillId="12" borderId="18" xfId="4" applyFont="1" applyFill="1" applyBorder="1" applyAlignment="1" applyProtection="1">
      <alignment horizontal="center"/>
      <protection locked="0"/>
    </xf>
    <xf numFmtId="0" fontId="13" fillId="12" borderId="10" xfId="4" applyFont="1" applyFill="1" applyBorder="1" applyAlignment="1" applyProtection="1">
      <alignment horizontal="center"/>
      <protection locked="0"/>
    </xf>
    <xf numFmtId="0" fontId="13" fillId="12" borderId="19" xfId="4" applyFont="1" applyFill="1" applyBorder="1" applyAlignment="1" applyProtection="1">
      <alignment horizontal="center"/>
      <protection locked="0"/>
    </xf>
    <xf numFmtId="0" fontId="13" fillId="0" borderId="1" xfId="4" applyFont="1" applyBorder="1" applyAlignment="1" applyProtection="1">
      <alignment horizontal="center"/>
    </xf>
    <xf numFmtId="0" fontId="13" fillId="12" borderId="18" xfId="4" applyFont="1" applyFill="1" applyBorder="1" applyAlignment="1" applyProtection="1">
      <alignment horizontal="center" vertical="center"/>
      <protection locked="0"/>
    </xf>
    <xf numFmtId="0" fontId="13" fillId="12" borderId="10" xfId="4" applyFont="1" applyFill="1" applyBorder="1" applyAlignment="1" applyProtection="1">
      <alignment horizontal="center" vertical="center"/>
      <protection locked="0"/>
    </xf>
    <xf numFmtId="0" fontId="13" fillId="12" borderId="19" xfId="4" applyFont="1" applyFill="1" applyBorder="1" applyAlignment="1" applyProtection="1">
      <alignment horizontal="center" vertical="center"/>
      <protection locked="0"/>
    </xf>
    <xf numFmtId="0" fontId="13" fillId="12" borderId="18" xfId="4" applyFont="1" applyFill="1" applyBorder="1" applyAlignment="1" applyProtection="1">
      <alignment horizontal="center" vertical="center" wrapText="1"/>
      <protection locked="0"/>
    </xf>
    <xf numFmtId="0" fontId="13" fillId="12" borderId="10" xfId="4" applyFont="1" applyFill="1" applyBorder="1" applyAlignment="1" applyProtection="1">
      <alignment horizontal="center" vertical="center" wrapText="1"/>
      <protection locked="0"/>
    </xf>
    <xf numFmtId="0" fontId="13" fillId="12" borderId="19" xfId="4" applyFont="1" applyFill="1" applyBorder="1" applyAlignment="1" applyProtection="1">
      <alignment horizontal="center" vertical="center" wrapText="1"/>
      <protection locked="0"/>
    </xf>
    <xf numFmtId="0" fontId="18" fillId="14" borderId="18" xfId="4" applyFont="1" applyFill="1" applyBorder="1" applyAlignment="1" applyProtection="1">
      <alignment horizontal="center" vertical="center"/>
      <protection locked="0"/>
    </xf>
    <xf numFmtId="0" fontId="18" fillId="14" borderId="10" xfId="4" applyFont="1" applyFill="1" applyBorder="1" applyAlignment="1" applyProtection="1">
      <alignment horizontal="center" vertical="center"/>
      <protection locked="0"/>
    </xf>
    <xf numFmtId="0" fontId="18" fillId="14" borderId="19" xfId="4" applyFont="1" applyFill="1" applyBorder="1" applyAlignment="1" applyProtection="1">
      <alignment horizontal="center" vertical="center"/>
      <protection locked="0"/>
    </xf>
    <xf numFmtId="0" fontId="18" fillId="14" borderId="18" xfId="4" applyFont="1" applyFill="1" applyBorder="1" applyAlignment="1" applyProtection="1">
      <alignment horizontal="center" vertical="center" wrapText="1"/>
      <protection locked="0"/>
    </xf>
    <xf numFmtId="0" fontId="18" fillId="14" borderId="10" xfId="4" applyFont="1" applyFill="1" applyBorder="1" applyAlignment="1" applyProtection="1">
      <alignment horizontal="center" vertical="center" wrapText="1"/>
      <protection locked="0"/>
    </xf>
    <xf numFmtId="0" fontId="18" fillId="14" borderId="19" xfId="4" applyFont="1" applyFill="1" applyBorder="1" applyAlignment="1" applyProtection="1">
      <alignment horizontal="center" vertical="center" wrapText="1"/>
      <protection locked="0"/>
    </xf>
    <xf numFmtId="0" fontId="13" fillId="12" borderId="1" xfId="0" applyFont="1" applyFill="1" applyBorder="1" applyAlignment="1" applyProtection="1">
      <alignment horizontal="center"/>
      <protection locked="0"/>
    </xf>
    <xf numFmtId="0" fontId="13" fillId="12" borderId="18" xfId="9" applyFont="1" applyFill="1" applyBorder="1" applyAlignment="1" applyProtection="1">
      <alignment horizontal="left" vertical="top" wrapText="1"/>
      <protection locked="0"/>
    </xf>
    <xf numFmtId="0" fontId="13" fillId="12" borderId="10" xfId="9" applyFont="1" applyFill="1" applyBorder="1" applyAlignment="1" applyProtection="1">
      <alignment horizontal="left" vertical="top" wrapText="1"/>
      <protection locked="0"/>
    </xf>
    <xf numFmtId="0" fontId="13" fillId="12" borderId="19" xfId="9" applyFont="1" applyFill="1" applyBorder="1" applyAlignment="1" applyProtection="1">
      <alignment horizontal="left" vertical="top" wrapText="1"/>
      <protection locked="0"/>
    </xf>
    <xf numFmtId="0" fontId="13" fillId="12" borderId="1" xfId="8" applyFont="1" applyFill="1" applyBorder="1" applyAlignment="1" applyProtection="1">
      <alignment horizontal="left" wrapText="1"/>
      <protection locked="0"/>
    </xf>
    <xf numFmtId="0" fontId="13" fillId="12" borderId="1" xfId="0" applyFont="1" applyFill="1" applyBorder="1" applyAlignment="1" applyProtection="1">
      <alignment horizontal="left" wrapText="1"/>
      <protection locked="0"/>
    </xf>
    <xf numFmtId="0" fontId="34" fillId="4" borderId="0" xfId="8" applyFont="1" applyFill="1" applyBorder="1" applyAlignment="1" applyProtection="1">
      <alignment horizontal="left" wrapText="1"/>
    </xf>
    <xf numFmtId="0" fontId="34" fillId="4" borderId="0" xfId="8" applyFont="1" applyFill="1" applyBorder="1" applyAlignment="1" applyProtection="1">
      <alignment horizontal="left"/>
    </xf>
    <xf numFmtId="0" fontId="13" fillId="12" borderId="18" xfId="8" applyFont="1" applyFill="1" applyBorder="1" applyAlignment="1" applyProtection="1">
      <alignment horizontal="left" wrapText="1"/>
      <protection locked="0"/>
    </xf>
    <xf numFmtId="0" fontId="13" fillId="12" borderId="10" xfId="0" applyFont="1" applyFill="1" applyBorder="1" applyAlignment="1" applyProtection="1">
      <alignment horizontal="left" wrapText="1"/>
      <protection locked="0"/>
    </xf>
    <xf numFmtId="0" fontId="13" fillId="12" borderId="19" xfId="0" applyFont="1" applyFill="1" applyBorder="1" applyAlignment="1" applyProtection="1">
      <alignment horizontal="left" wrapText="1"/>
      <protection locked="0"/>
    </xf>
    <xf numFmtId="0" fontId="13" fillId="12" borderId="10" xfId="8" applyFont="1" applyFill="1" applyBorder="1" applyAlignment="1" applyProtection="1">
      <alignment horizontal="left" wrapText="1"/>
      <protection locked="0"/>
    </xf>
    <xf numFmtId="0" fontId="13" fillId="12" borderId="19" xfId="8" applyFont="1" applyFill="1" applyBorder="1" applyAlignment="1" applyProtection="1">
      <alignment horizontal="left" wrapText="1"/>
      <protection locked="0"/>
    </xf>
    <xf numFmtId="173" fontId="13" fillId="12" borderId="1" xfId="4" applyNumberFormat="1" applyFont="1" applyFill="1" applyBorder="1" applyProtection="1"/>
    <xf numFmtId="0" fontId="13" fillId="4" borderId="0" xfId="0" applyFont="1" applyFill="1" applyBorder="1" applyAlignment="1" applyProtection="1">
      <alignment vertical="center"/>
      <protection locked="0"/>
    </xf>
  </cellXfs>
  <cellStyles count="13">
    <cellStyle name="Comma" xfId="1" builtinId="3"/>
    <cellStyle name="Comma 2" xfId="2"/>
    <cellStyle name="Hyperlink" xfId="11" builtinId="8"/>
    <cellStyle name="Normal" xfId="0" builtinId="0"/>
    <cellStyle name="Normal 2" xfId="3"/>
    <cellStyle name="Normal 3" xfId="4"/>
    <cellStyle name="Normal 4" xfId="5"/>
    <cellStyle name="Normal 5" xfId="10"/>
    <cellStyle name="Normal_3E(9) proforma 2000-01" xfId="9"/>
    <cellStyle name="Normal_Draft SP Transmission version 1" xfId="12"/>
    <cellStyle name="Normal_EMExls" xfId="8"/>
    <cellStyle name="Percent" xfId="6" builtinId="5"/>
    <cellStyle name="Percent 2" xfId="7"/>
  </cellStyles>
  <dxfs count="42">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s>
  <tableStyles count="0" defaultTableStyle="TableStyleMedium9" defaultPivotStyle="PivotStyleLight16"/>
  <colors>
    <mruColors>
      <color rgb="FFFFFF99"/>
      <color rgb="FFC0C0C0"/>
      <color rgb="FFCCFFFF"/>
      <color rgb="FFFFCC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1</xdr:col>
      <xdr:colOff>257175</xdr:colOff>
      <xdr:row>1</xdr:row>
      <xdr:rowOff>95250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57150" y="38100"/>
          <a:ext cx="885825" cy="409575"/>
        </a:xfrm>
        <a:prstGeom prst="rect">
          <a:avLst/>
        </a:prstGeom>
        <a:noFill/>
        <a:ln w="9525">
          <a:noFill/>
          <a:miter lim="800000"/>
          <a:headEnd/>
          <a:tailEnd/>
        </a:ln>
      </xdr:spPr>
    </xdr:pic>
    <xdr:clientData/>
  </xdr:twoCellAnchor>
  <xdr:twoCellAnchor editAs="oneCell">
    <xdr:from>
      <xdr:col>0</xdr:col>
      <xdr:colOff>38100</xdr:colOff>
      <xdr:row>1</xdr:row>
      <xdr:rowOff>114300</xdr:rowOff>
    </xdr:from>
    <xdr:to>
      <xdr:col>2</xdr:col>
      <xdr:colOff>466725</xdr:colOff>
      <xdr:row>3</xdr:row>
      <xdr:rowOff>85725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38100" y="466725"/>
          <a:ext cx="1800225" cy="42862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619125</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619125</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4</xdr:row>
      <xdr:rowOff>0</xdr:rowOff>
    </xdr:from>
    <xdr:to>
      <xdr:col>1</xdr:col>
      <xdr:colOff>57150</xdr:colOff>
      <xdr:row>6</xdr:row>
      <xdr:rowOff>23191</xdr:rowOff>
    </xdr:to>
    <xdr:pic>
      <xdr:nvPicPr>
        <xdr:cNvPr id="40010" name="Picture 1" descr="Ofgem"/>
        <xdr:cNvPicPr>
          <a:picLocks noChangeAspect="1" noChangeArrowheads="1"/>
        </xdr:cNvPicPr>
      </xdr:nvPicPr>
      <xdr:blipFill>
        <a:blip xmlns:r="http://schemas.openxmlformats.org/officeDocument/2006/relationships" r:embed="rId1"/>
        <a:srcRect/>
        <a:stretch>
          <a:fillRect/>
        </a:stretch>
      </xdr:blipFill>
      <xdr:spPr bwMode="auto">
        <a:xfrm>
          <a:off x="57150" y="76200"/>
          <a:ext cx="0" cy="409575"/>
        </a:xfrm>
        <a:prstGeom prst="rect">
          <a:avLst/>
        </a:prstGeom>
        <a:noFill/>
        <a:ln w="9525">
          <a:noFill/>
          <a:miter lim="800000"/>
          <a:headEnd/>
          <a:tailEnd/>
        </a:ln>
      </xdr:spPr>
    </xdr:pic>
    <xdr:clientData/>
  </xdr:twoCellAnchor>
  <xdr:twoCellAnchor editAs="oneCell">
    <xdr:from>
      <xdr:col>0</xdr:col>
      <xdr:colOff>19050</xdr:colOff>
      <xdr:row>0</xdr:row>
      <xdr:rowOff>0</xdr:rowOff>
    </xdr:from>
    <xdr:to>
      <xdr:col>0</xdr:col>
      <xdr:colOff>904875</xdr:colOff>
      <xdr:row>1</xdr:row>
      <xdr:rowOff>57150</xdr:rowOff>
    </xdr:to>
    <xdr:pic>
      <xdr:nvPicPr>
        <xdr:cNvPr id="5"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619125</xdr:colOff>
      <xdr:row>3</xdr:row>
      <xdr:rowOff>47625</xdr:rowOff>
    </xdr:to>
    <xdr:pic>
      <xdr:nvPicPr>
        <xdr:cNvPr id="6"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57150</xdr:colOff>
      <xdr:row>4</xdr:row>
      <xdr:rowOff>0</xdr:rowOff>
    </xdr:from>
    <xdr:to>
      <xdr:col>1</xdr:col>
      <xdr:colOff>57150</xdr:colOff>
      <xdr:row>6</xdr:row>
      <xdr:rowOff>19050</xdr:rowOff>
    </xdr:to>
    <xdr:pic>
      <xdr:nvPicPr>
        <xdr:cNvPr id="2" name="Picture 1" descr="Ofgem"/>
        <xdr:cNvPicPr>
          <a:picLocks noChangeAspect="1" noChangeArrowheads="1"/>
        </xdr:cNvPicPr>
      </xdr:nvPicPr>
      <xdr:blipFill>
        <a:blip xmlns:r="http://schemas.openxmlformats.org/officeDocument/2006/relationships" r:embed="rId1"/>
        <a:srcRect/>
        <a:stretch>
          <a:fillRect/>
        </a:stretch>
      </xdr:blipFill>
      <xdr:spPr bwMode="auto">
        <a:xfrm>
          <a:off x="57150" y="76200"/>
          <a:ext cx="1114425" cy="409575"/>
        </a:xfrm>
        <a:prstGeom prst="rect">
          <a:avLst/>
        </a:prstGeom>
        <a:noFill/>
      </xdr:spPr>
    </xdr:pic>
    <xdr:clientData/>
  </xdr:twoCellAnchor>
  <xdr:twoCellAnchor editAs="oneCell">
    <xdr:from>
      <xdr:col>0</xdr:col>
      <xdr:colOff>19050</xdr:colOff>
      <xdr:row>0</xdr:row>
      <xdr:rowOff>0</xdr:rowOff>
    </xdr:from>
    <xdr:to>
      <xdr:col>0</xdr:col>
      <xdr:colOff>904875</xdr:colOff>
      <xdr:row>1</xdr:row>
      <xdr:rowOff>57150</xdr:rowOff>
    </xdr:to>
    <xdr:pic>
      <xdr:nvPicPr>
        <xdr:cNvPr id="5"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619125</xdr:colOff>
      <xdr:row>3</xdr:row>
      <xdr:rowOff>47625</xdr:rowOff>
    </xdr:to>
    <xdr:pic>
      <xdr:nvPicPr>
        <xdr:cNvPr id="6"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4</xdr:row>
      <xdr:rowOff>0</xdr:rowOff>
    </xdr:from>
    <xdr:to>
      <xdr:col>1</xdr:col>
      <xdr:colOff>57150</xdr:colOff>
      <xdr:row>5</xdr:row>
      <xdr:rowOff>247650</xdr:rowOff>
    </xdr:to>
    <xdr:pic>
      <xdr:nvPicPr>
        <xdr:cNvPr id="2" name="Picture 1" descr="Ofgem"/>
        <xdr:cNvPicPr>
          <a:picLocks noChangeAspect="1" noChangeArrowheads="1"/>
        </xdr:cNvPicPr>
      </xdr:nvPicPr>
      <xdr:blipFill>
        <a:blip xmlns:r="http://schemas.openxmlformats.org/officeDocument/2006/relationships" r:embed="rId1"/>
        <a:srcRect/>
        <a:stretch>
          <a:fillRect/>
        </a:stretch>
      </xdr:blipFill>
      <xdr:spPr bwMode="auto">
        <a:xfrm>
          <a:off x="57150" y="76200"/>
          <a:ext cx="0" cy="409575"/>
        </a:xfrm>
        <a:prstGeom prst="rect">
          <a:avLst/>
        </a:prstGeom>
        <a:noFill/>
      </xdr:spPr>
    </xdr:pic>
    <xdr:clientData/>
  </xdr:twoCellAnchor>
  <xdr:twoCellAnchor editAs="oneCell">
    <xdr:from>
      <xdr:col>1</xdr:col>
      <xdr:colOff>19050</xdr:colOff>
      <xdr:row>4</xdr:row>
      <xdr:rowOff>0</xdr:rowOff>
    </xdr:from>
    <xdr:to>
      <xdr:col>1</xdr:col>
      <xdr:colOff>19050</xdr:colOff>
      <xdr:row>5</xdr:row>
      <xdr:rowOff>114300</xdr:rowOff>
    </xdr:to>
    <xdr:pic>
      <xdr:nvPicPr>
        <xdr:cNvPr id="4" name="Picture 1"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228600"/>
          <a:ext cx="1072781" cy="276225"/>
        </a:xfrm>
        <a:prstGeom prst="rect">
          <a:avLst/>
        </a:prstGeom>
        <a:noFill/>
        <a:ln w="9525">
          <a:noFill/>
          <a:miter lim="800000"/>
          <a:headEnd/>
          <a:tailEnd/>
        </a:ln>
      </xdr:spPr>
    </xdr:pic>
    <xdr:clientData/>
  </xdr:twoCellAnchor>
  <xdr:twoCellAnchor editAs="oneCell">
    <xdr:from>
      <xdr:col>0</xdr:col>
      <xdr:colOff>19050</xdr:colOff>
      <xdr:row>0</xdr:row>
      <xdr:rowOff>0</xdr:rowOff>
    </xdr:from>
    <xdr:to>
      <xdr:col>0</xdr:col>
      <xdr:colOff>904875</xdr:colOff>
      <xdr:row>1</xdr:row>
      <xdr:rowOff>57150</xdr:rowOff>
    </xdr:to>
    <xdr:pic>
      <xdr:nvPicPr>
        <xdr:cNvPr id="7"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619125</xdr:colOff>
      <xdr:row>3</xdr:row>
      <xdr:rowOff>47625</xdr:rowOff>
    </xdr:to>
    <xdr:pic>
      <xdr:nvPicPr>
        <xdr:cNvPr id="8"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161925</xdr:rowOff>
    </xdr:to>
    <xdr:pic>
      <xdr:nvPicPr>
        <xdr:cNvPr id="6"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1</xdr:col>
      <xdr:colOff>566208</xdr:colOff>
      <xdr:row>3</xdr:row>
      <xdr:rowOff>142875</xdr:rowOff>
    </xdr:to>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2</xdr:col>
      <xdr:colOff>32808</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66675</xdr:colOff>
      <xdr:row>0</xdr:row>
      <xdr:rowOff>28575</xdr:rowOff>
    </xdr:from>
    <xdr:to>
      <xdr:col>0</xdr:col>
      <xdr:colOff>952500</xdr:colOff>
      <xdr:row>1</xdr:row>
      <xdr:rowOff>85725</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66675" y="28575"/>
          <a:ext cx="885825" cy="409575"/>
        </a:xfrm>
        <a:prstGeom prst="rect">
          <a:avLst/>
        </a:prstGeom>
        <a:noFill/>
        <a:ln w="9525">
          <a:noFill/>
          <a:miter lim="800000"/>
          <a:headEnd/>
          <a:tailEnd/>
        </a:ln>
      </xdr:spPr>
    </xdr:pic>
    <xdr:clientData/>
  </xdr:twoCellAnchor>
  <xdr:twoCellAnchor editAs="oneCell">
    <xdr:from>
      <xdr:col>0</xdr:col>
      <xdr:colOff>28575</xdr:colOff>
      <xdr:row>1</xdr:row>
      <xdr:rowOff>76200</xdr:rowOff>
    </xdr:from>
    <xdr:to>
      <xdr:col>2</xdr:col>
      <xdr:colOff>381000</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28575" y="428625"/>
          <a:ext cx="1800225" cy="428625"/>
        </a:xfrm>
        <a:prstGeom prst="rect">
          <a:avLst/>
        </a:prstGeom>
        <a:noFill/>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2</xdr:col>
      <xdr:colOff>419100</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2</xdr:col>
      <xdr:colOff>352425</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152400</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1047750</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6"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2</xdr:col>
      <xdr:colOff>85725</xdr:colOff>
      <xdr:row>3</xdr:row>
      <xdr:rowOff>47625</xdr:rowOff>
    </xdr:to>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619125</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2</xdr:col>
      <xdr:colOff>85725</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371475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2</xdr:col>
      <xdr:colOff>403225</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2"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609600</xdr:colOff>
      <xdr:row>3</xdr:row>
      <xdr:rowOff>47625</xdr:rowOff>
    </xdr:to>
    <xdr:pic>
      <xdr:nvPicPr>
        <xdr:cNvPr id="3"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161925</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1</xdr:col>
      <xdr:colOff>619125</xdr:colOff>
      <xdr:row>3</xdr:row>
      <xdr:rowOff>142875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904875</xdr:colOff>
      <xdr:row>1</xdr:row>
      <xdr:rowOff>76200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1905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619125</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914400</xdr:colOff>
      <xdr:row>1</xdr:row>
      <xdr:rowOff>57150</xdr:rowOff>
    </xdr:to>
    <xdr:pic>
      <xdr:nvPicPr>
        <xdr:cNvPr id="6"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28575" y="0"/>
          <a:ext cx="885825" cy="409575"/>
        </a:xfrm>
        <a:prstGeom prst="rect">
          <a:avLst/>
        </a:prstGeom>
        <a:noFill/>
        <a:ln w="9525">
          <a:noFill/>
          <a:miter lim="800000"/>
          <a:headEnd/>
          <a:tailEnd/>
        </a:ln>
      </xdr:spPr>
    </xdr:pic>
    <xdr:clientData/>
  </xdr:twoCellAnchor>
  <xdr:twoCellAnchor editAs="oneCell">
    <xdr:from>
      <xdr:col>0</xdr:col>
      <xdr:colOff>9525</xdr:colOff>
      <xdr:row>1</xdr:row>
      <xdr:rowOff>76200</xdr:rowOff>
    </xdr:from>
    <xdr:to>
      <xdr:col>1</xdr:col>
      <xdr:colOff>628650</xdr:colOff>
      <xdr:row>3</xdr:row>
      <xdr:rowOff>47625</xdr:rowOff>
    </xdr:to>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9525" y="428625"/>
          <a:ext cx="1800225" cy="42862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619125</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904875</xdr:colOff>
      <xdr:row>1</xdr:row>
      <xdr:rowOff>57150</xdr:rowOff>
    </xdr:to>
    <xdr:pic>
      <xdr:nvPicPr>
        <xdr:cNvPr id="4" name="Picture 6"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9050" y="0"/>
          <a:ext cx="885825" cy="409575"/>
        </a:xfrm>
        <a:prstGeom prst="rect">
          <a:avLst/>
        </a:prstGeom>
        <a:noFill/>
        <a:ln w="9525">
          <a:noFill/>
          <a:miter lim="800000"/>
          <a:headEnd/>
          <a:tailEnd/>
        </a:ln>
      </xdr:spPr>
    </xdr:pic>
    <xdr:clientData/>
  </xdr:twoCellAnchor>
  <xdr:twoCellAnchor editAs="oneCell">
    <xdr:from>
      <xdr:col>0</xdr:col>
      <xdr:colOff>0</xdr:colOff>
      <xdr:row>1</xdr:row>
      <xdr:rowOff>76200</xdr:rowOff>
    </xdr:from>
    <xdr:to>
      <xdr:col>1</xdr:col>
      <xdr:colOff>619125</xdr:colOff>
      <xdr:row>3</xdr:row>
      <xdr:rowOff>47625</xdr:rowOff>
    </xdr:to>
    <xdr:pic>
      <xdr:nvPicPr>
        <xdr:cNvPr id="5"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0" y="428625"/>
          <a:ext cx="1800225" cy="4286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Temporary%20Internet%20Files/Content.Outlook/TDU0ZU43/Copy%20of%20NGET_RM_V11%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ing Page"/>
      <sheetName val="Log"/>
      <sheetName val="Diagram of Worksheets"/>
      <sheetName val="Input TO"/>
      <sheetName val="Inputs Capex Incentive 1"/>
      <sheetName val="Inputs Capex Incentive 2"/>
      <sheetName val="TIRG_DataSheet"/>
      <sheetName val="Input SO"/>
      <sheetName val="PR t"/>
      <sheetName val="TIRG t"/>
      <sheetName val="PT t"/>
      <sheetName val="IP t"/>
      <sheetName val="CxIncRA t "/>
      <sheetName val="LVGC n"/>
      <sheetName val="LVZS n"/>
      <sheetName val="LVZD n"/>
      <sheetName val="LVST n"/>
      <sheetName val="Other terms"/>
      <sheetName val="TO "/>
      <sheetName val="BXext (External Costs)"/>
      <sheetName val="BXint (Internal Costs)"/>
      <sheetName val="SO"/>
      <sheetName val="Section 1"/>
      <sheetName val="Section 2"/>
      <sheetName val="Section 2a"/>
      <sheetName val="Section 2b"/>
      <sheetName val="Section 2c"/>
      <sheetName val="Section 2d"/>
      <sheetName val="Section 3a"/>
      <sheetName val="Section 3b"/>
      <sheetName val="Section 4"/>
      <sheetName val="Section 5"/>
    </sheetNames>
    <sheetDataSet>
      <sheetData sheetId="0" refreshError="1"/>
      <sheetData sheetId="1" refreshError="1"/>
      <sheetData sheetId="2" refreshError="1"/>
      <sheetData sheetId="3">
        <row r="11">
          <cell r="C11" t="str">
            <v>National Grid Electricty Transmission Plc</v>
          </cell>
          <cell r="G11" t="str">
            <v>CompName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file:///\\lonfs01\home\Internal\Financial%20Documents\Financial%20documents\OFTO%20reporting\OFTO%20cost%20reporting%20pack%20-%20under%20development.xlsx"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3"/>
  <dimension ref="A1:L74"/>
  <sheetViews>
    <sheetView tabSelected="1" zoomScale="90" zoomScaleNormal="90" workbookViewId="0">
      <selection activeCell="A15" sqref="A15"/>
    </sheetView>
  </sheetViews>
  <sheetFormatPr defaultColWidth="0" defaultRowHeight="12.75" customHeight="1" zeroHeight="1"/>
  <cols>
    <col min="1" max="3" width="12" style="189" customWidth="1"/>
    <col min="4" max="4" width="11.5" style="189" bestFit="1" customWidth="1"/>
    <col min="5" max="5" width="12" style="189" customWidth="1"/>
    <col min="6" max="6" width="57.83203125" style="189" customWidth="1"/>
    <col min="7" max="10" width="12" style="189" customWidth="1"/>
    <col min="11" max="12" width="0" style="189" hidden="1" customWidth="1"/>
    <col min="13" max="16384" width="12" style="189" hidden="1"/>
  </cols>
  <sheetData>
    <row r="1" spans="1:10" s="1" customFormat="1" ht="27.75" customHeight="1">
      <c r="D1" s="2" t="s">
        <v>185</v>
      </c>
    </row>
    <row r="2" spans="1:10" s="1" customFormat="1" ht="18" customHeight="1">
      <c r="D2" s="1" t="s">
        <v>169</v>
      </c>
      <c r="E2" s="358" t="str">
        <f>'Universal data'!$D$11</f>
        <v>Demo sands</v>
      </c>
    </row>
    <row r="3" spans="1:10" s="1" customFormat="1" ht="18" customHeight="1">
      <c r="A3" s="4"/>
      <c r="B3" s="4"/>
      <c r="D3" s="1" t="s">
        <v>170</v>
      </c>
      <c r="E3" s="358" t="str">
        <f>'Universal data'!$D$9</f>
        <v>[Offshore transmission operator 1]</v>
      </c>
      <c r="F3" s="5"/>
      <c r="G3" s="5"/>
      <c r="J3" s="5"/>
    </row>
    <row r="4" spans="1:10" s="1" customFormat="1" ht="18" customHeight="1">
      <c r="A4" s="4"/>
      <c r="B4" s="4"/>
      <c r="D4" s="1" t="s">
        <v>171</v>
      </c>
      <c r="E4" s="358" t="str">
        <f>'Universal data'!$D$12-1&amp;"-"&amp;'Universal data'!$D$12-2000</f>
        <v>2012-13</v>
      </c>
      <c r="F4" s="5"/>
      <c r="G4" s="5"/>
      <c r="J4" s="5"/>
    </row>
    <row r="5" spans="1:10" ht="13.5" thickBot="1"/>
    <row r="6" spans="1:10" ht="12.75" customHeight="1">
      <c r="B6" s="500" t="s">
        <v>329</v>
      </c>
      <c r="C6" s="501"/>
      <c r="D6" s="501"/>
      <c r="E6" s="501"/>
      <c r="F6" s="501"/>
      <c r="G6" s="501"/>
      <c r="H6" s="501"/>
      <c r="I6" s="502"/>
    </row>
    <row r="7" spans="1:10">
      <c r="B7" s="503"/>
      <c r="C7" s="504"/>
      <c r="D7" s="504"/>
      <c r="E7" s="504"/>
      <c r="F7" s="504"/>
      <c r="G7" s="504"/>
      <c r="H7" s="504"/>
      <c r="I7" s="505"/>
    </row>
    <row r="8" spans="1:10">
      <c r="B8" s="503"/>
      <c r="C8" s="504"/>
      <c r="D8" s="504"/>
      <c r="E8" s="504"/>
      <c r="F8" s="504"/>
      <c r="G8" s="504"/>
      <c r="H8" s="504"/>
      <c r="I8" s="505"/>
    </row>
    <row r="9" spans="1:10">
      <c r="B9" s="503"/>
      <c r="C9" s="504"/>
      <c r="D9" s="504"/>
      <c r="E9" s="504"/>
      <c r="F9" s="504"/>
      <c r="G9" s="504"/>
      <c r="H9" s="504"/>
      <c r="I9" s="505"/>
    </row>
    <row r="10" spans="1:10">
      <c r="B10" s="503"/>
      <c r="C10" s="504"/>
      <c r="D10" s="504"/>
      <c r="E10" s="504"/>
      <c r="F10" s="504"/>
      <c r="G10" s="504"/>
      <c r="H10" s="504"/>
      <c r="I10" s="505"/>
    </row>
    <row r="11" spans="1:10">
      <c r="B11" s="503"/>
      <c r="C11" s="504"/>
      <c r="D11" s="504"/>
      <c r="E11" s="504"/>
      <c r="F11" s="504"/>
      <c r="G11" s="504"/>
      <c r="H11" s="504"/>
      <c r="I11" s="505"/>
    </row>
    <row r="12" spans="1:10">
      <c r="B12" s="503"/>
      <c r="C12" s="504"/>
      <c r="D12" s="504"/>
      <c r="E12" s="504"/>
      <c r="F12" s="504"/>
      <c r="G12" s="504"/>
      <c r="H12" s="504"/>
      <c r="I12" s="505"/>
    </row>
    <row r="13" spans="1:10">
      <c r="B13" s="503"/>
      <c r="C13" s="504"/>
      <c r="D13" s="504"/>
      <c r="E13" s="504"/>
      <c r="F13" s="504"/>
      <c r="G13" s="504"/>
      <c r="H13" s="504"/>
      <c r="I13" s="505"/>
    </row>
    <row r="14" spans="1:10">
      <c r="B14" s="503"/>
      <c r="C14" s="504"/>
      <c r="D14" s="504"/>
      <c r="E14" s="504"/>
      <c r="F14" s="504"/>
      <c r="G14" s="504"/>
      <c r="H14" s="504"/>
      <c r="I14" s="505"/>
    </row>
    <row r="15" spans="1:10">
      <c r="B15" s="503"/>
      <c r="C15" s="504"/>
      <c r="D15" s="504"/>
      <c r="E15" s="504"/>
      <c r="F15" s="504"/>
      <c r="G15" s="504"/>
      <c r="H15" s="504"/>
      <c r="I15" s="505"/>
    </row>
    <row r="16" spans="1:10" ht="13.5" thickBot="1">
      <c r="B16" s="506"/>
      <c r="C16" s="507"/>
      <c r="D16" s="507"/>
      <c r="E16" s="507"/>
      <c r="F16" s="507"/>
      <c r="G16" s="507"/>
      <c r="H16" s="507"/>
      <c r="I16" s="508"/>
    </row>
    <row r="17" spans="2:9" ht="13.5" thickBot="1">
      <c r="B17" s="6"/>
      <c r="C17" s="6"/>
      <c r="D17" s="6"/>
      <c r="E17" s="6"/>
      <c r="F17" s="6"/>
      <c r="G17" s="6"/>
      <c r="H17" s="6"/>
      <c r="I17" s="6"/>
    </row>
    <row r="18" spans="2:9" ht="12.75" customHeight="1">
      <c r="B18" s="500" t="s">
        <v>296</v>
      </c>
      <c r="C18" s="501"/>
      <c r="D18" s="501"/>
      <c r="E18" s="501"/>
      <c r="F18" s="501"/>
      <c r="G18" s="501"/>
      <c r="H18" s="501"/>
      <c r="I18" s="502"/>
    </row>
    <row r="19" spans="2:9" ht="12.75" customHeight="1">
      <c r="B19" s="503"/>
      <c r="C19" s="504"/>
      <c r="D19" s="504"/>
      <c r="E19" s="504"/>
      <c r="F19" s="504"/>
      <c r="G19" s="504"/>
      <c r="H19" s="504"/>
      <c r="I19" s="505"/>
    </row>
    <row r="20" spans="2:9" ht="12.75" customHeight="1">
      <c r="B20" s="503"/>
      <c r="C20" s="504"/>
      <c r="D20" s="504"/>
      <c r="E20" s="504"/>
      <c r="F20" s="504"/>
      <c r="G20" s="504"/>
      <c r="H20" s="504"/>
      <c r="I20" s="505"/>
    </row>
    <row r="21" spans="2:9" ht="12.75" customHeight="1">
      <c r="B21" s="503"/>
      <c r="C21" s="504"/>
      <c r="D21" s="504"/>
      <c r="E21" s="504"/>
      <c r="F21" s="504"/>
      <c r="G21" s="504"/>
      <c r="H21" s="504"/>
      <c r="I21" s="505"/>
    </row>
    <row r="22" spans="2:9" ht="12.75" customHeight="1">
      <c r="B22" s="503"/>
      <c r="C22" s="504"/>
      <c r="D22" s="504"/>
      <c r="E22" s="504"/>
      <c r="F22" s="504"/>
      <c r="G22" s="504"/>
      <c r="H22" s="504"/>
      <c r="I22" s="505"/>
    </row>
    <row r="23" spans="2:9" ht="12.75" customHeight="1">
      <c r="B23" s="503"/>
      <c r="C23" s="504"/>
      <c r="D23" s="504"/>
      <c r="E23" s="504"/>
      <c r="F23" s="504"/>
      <c r="G23" s="504"/>
      <c r="H23" s="504"/>
      <c r="I23" s="505"/>
    </row>
    <row r="24" spans="2:9" ht="12.75" customHeight="1">
      <c r="B24" s="503"/>
      <c r="C24" s="504"/>
      <c r="D24" s="504"/>
      <c r="E24" s="504"/>
      <c r="F24" s="504"/>
      <c r="G24" s="504"/>
      <c r="H24" s="504"/>
      <c r="I24" s="505"/>
    </row>
    <row r="25" spans="2:9" ht="12.75" customHeight="1">
      <c r="B25" s="503"/>
      <c r="C25" s="504"/>
      <c r="D25" s="504"/>
      <c r="E25" s="504"/>
      <c r="F25" s="504"/>
      <c r="G25" s="504"/>
      <c r="H25" s="504"/>
      <c r="I25" s="505"/>
    </row>
    <row r="26" spans="2:9" ht="12.75" customHeight="1">
      <c r="B26" s="503"/>
      <c r="C26" s="504"/>
      <c r="D26" s="504"/>
      <c r="E26" s="504"/>
      <c r="F26" s="504"/>
      <c r="G26" s="504"/>
      <c r="H26" s="504"/>
      <c r="I26" s="505"/>
    </row>
    <row r="27" spans="2:9" ht="13.5" customHeight="1" thickBot="1">
      <c r="B27" s="506"/>
      <c r="C27" s="507"/>
      <c r="D27" s="507"/>
      <c r="E27" s="507"/>
      <c r="F27" s="507"/>
      <c r="G27" s="507"/>
      <c r="H27" s="507"/>
      <c r="I27" s="508"/>
    </row>
    <row r="28" spans="2:9" ht="13.5" thickBot="1">
      <c r="B28" s="6"/>
      <c r="C28" s="6"/>
      <c r="D28" s="6"/>
      <c r="E28" s="6"/>
      <c r="F28" s="6"/>
      <c r="G28" s="6"/>
      <c r="H28" s="6"/>
      <c r="I28" s="6"/>
    </row>
    <row r="29" spans="2:9" ht="12.75" customHeight="1">
      <c r="B29" s="500" t="s">
        <v>294</v>
      </c>
      <c r="C29" s="501"/>
      <c r="D29" s="501"/>
      <c r="E29" s="501"/>
      <c r="F29" s="501"/>
      <c r="G29" s="501"/>
      <c r="H29" s="501"/>
      <c r="I29" s="502"/>
    </row>
    <row r="30" spans="2:9" ht="12.75" customHeight="1">
      <c r="B30" s="503"/>
      <c r="C30" s="504"/>
      <c r="D30" s="504"/>
      <c r="E30" s="504"/>
      <c r="F30" s="504"/>
      <c r="G30" s="504"/>
      <c r="H30" s="504"/>
      <c r="I30" s="505"/>
    </row>
    <row r="31" spans="2:9" ht="12.75" customHeight="1">
      <c r="B31" s="503"/>
      <c r="C31" s="504"/>
      <c r="D31" s="504"/>
      <c r="E31" s="504"/>
      <c r="F31" s="504"/>
      <c r="G31" s="504"/>
      <c r="H31" s="504"/>
      <c r="I31" s="505"/>
    </row>
    <row r="32" spans="2:9" ht="12.75" customHeight="1">
      <c r="B32" s="503"/>
      <c r="C32" s="504"/>
      <c r="D32" s="504"/>
      <c r="E32" s="504"/>
      <c r="F32" s="504"/>
      <c r="G32" s="504"/>
      <c r="H32" s="504"/>
      <c r="I32" s="505"/>
    </row>
    <row r="33" spans="2:9" ht="12.75" customHeight="1">
      <c r="B33" s="503"/>
      <c r="C33" s="504"/>
      <c r="D33" s="504"/>
      <c r="E33" s="504"/>
      <c r="F33" s="504"/>
      <c r="G33" s="504"/>
      <c r="H33" s="504"/>
      <c r="I33" s="505"/>
    </row>
    <row r="34" spans="2:9" ht="12.75" customHeight="1">
      <c r="B34" s="503"/>
      <c r="C34" s="504"/>
      <c r="D34" s="504"/>
      <c r="E34" s="504"/>
      <c r="F34" s="504"/>
      <c r="G34" s="504"/>
      <c r="H34" s="504"/>
      <c r="I34" s="505"/>
    </row>
    <row r="35" spans="2:9" ht="13.5" customHeight="1" thickBot="1">
      <c r="B35" s="506"/>
      <c r="C35" s="507"/>
      <c r="D35" s="507"/>
      <c r="E35" s="507"/>
      <c r="F35" s="507"/>
      <c r="G35" s="507"/>
      <c r="H35" s="507"/>
      <c r="I35" s="508"/>
    </row>
    <row r="36" spans="2:9" ht="13.5" thickBot="1"/>
    <row r="37" spans="2:9" ht="14.25">
      <c r="B37" s="7"/>
      <c r="C37" s="8"/>
      <c r="D37" s="8"/>
      <c r="E37" s="8"/>
      <c r="F37" s="8"/>
      <c r="G37" s="8"/>
      <c r="H37" s="8"/>
      <c r="I37" s="9"/>
    </row>
    <row r="38" spans="2:9" ht="18">
      <c r="B38" s="10" t="s">
        <v>50</v>
      </c>
      <c r="C38" s="11"/>
      <c r="D38" s="11"/>
      <c r="E38" s="11"/>
      <c r="F38" s="11"/>
      <c r="G38" s="11"/>
      <c r="H38" s="11"/>
      <c r="I38" s="12"/>
    </row>
    <row r="39" spans="2:9" ht="13.5" customHeight="1">
      <c r="B39" s="10"/>
      <c r="C39" s="13"/>
      <c r="D39" s="14"/>
      <c r="E39" s="15" t="s">
        <v>172</v>
      </c>
      <c r="F39" s="14"/>
      <c r="G39" s="14"/>
      <c r="H39" s="11"/>
      <c r="I39" s="16"/>
    </row>
    <row r="40" spans="2:9" ht="13.5" customHeight="1">
      <c r="B40" s="17"/>
      <c r="C40" s="18"/>
      <c r="D40" s="14"/>
      <c r="E40" s="509" t="s">
        <v>173</v>
      </c>
      <c r="F40" s="509"/>
      <c r="G40" s="509"/>
      <c r="H40" s="509"/>
      <c r="I40" s="16"/>
    </row>
    <row r="41" spans="2:9" ht="13.5" customHeight="1">
      <c r="B41" s="17"/>
      <c r="C41" s="19"/>
      <c r="D41" s="14"/>
      <c r="E41" s="15" t="s">
        <v>174</v>
      </c>
      <c r="F41" s="14"/>
      <c r="G41" s="14"/>
      <c r="H41" s="11"/>
      <c r="I41" s="12"/>
    </row>
    <row r="42" spans="2:9" ht="13.5" customHeight="1">
      <c r="B42" s="17"/>
      <c r="C42" s="20"/>
      <c r="D42" s="14"/>
      <c r="E42" s="189" t="s">
        <v>175</v>
      </c>
      <c r="I42" s="12"/>
    </row>
    <row r="43" spans="2:9" ht="13.5" customHeight="1">
      <c r="B43" s="17"/>
      <c r="C43" s="21"/>
      <c r="D43" s="14"/>
      <c r="E43" s="189" t="s">
        <v>176</v>
      </c>
      <c r="G43" s="510"/>
      <c r="H43" s="510"/>
      <c r="I43" s="12"/>
    </row>
    <row r="44" spans="2:9" ht="13.5" customHeight="1">
      <c r="B44" s="17"/>
      <c r="C44" s="22"/>
      <c r="D44" s="14"/>
      <c r="E44" s="189" t="s">
        <v>177</v>
      </c>
      <c r="G44" s="510"/>
      <c r="H44" s="510"/>
      <c r="I44" s="12"/>
    </row>
    <row r="45" spans="2:9" ht="15" thickBot="1">
      <c r="B45" s="23"/>
      <c r="C45" s="24"/>
      <c r="D45" s="24"/>
      <c r="E45" s="24"/>
      <c r="F45" s="24"/>
      <c r="G45" s="24"/>
      <c r="H45" s="24"/>
      <c r="I45" s="25"/>
    </row>
    <row r="46" spans="2:9"/>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t="12.75" hidden="1" customHeight="1"/>
    <row r="74" ht="12.75" hidden="1" customHeight="1"/>
  </sheetData>
  <mergeCells count="5">
    <mergeCell ref="B6:I16"/>
    <mergeCell ref="B18:I27"/>
    <mergeCell ref="E40:H40"/>
    <mergeCell ref="G43:H44"/>
    <mergeCell ref="B29:I35"/>
  </mergeCells>
  <pageMargins left="0.23622047244094491" right="0.23622047244094491" top="0.74803149606299213" bottom="0.74803149606299213" header="0.31496062992125984" footer="0.31496062992125984"/>
  <pageSetup paperSize="8" orientation="landscape" r:id="rId1"/>
  <drawing r:id="rId2"/>
</worksheet>
</file>

<file path=xl/worksheets/sheet10.xml><?xml version="1.0" encoding="utf-8"?>
<worksheet xmlns="http://schemas.openxmlformats.org/spreadsheetml/2006/main" xmlns:r="http://schemas.openxmlformats.org/officeDocument/2006/relationships">
  <sheetPr codeName="Sheet13">
    <pageSetUpPr fitToPage="1"/>
  </sheetPr>
  <dimension ref="A1:Z46"/>
  <sheetViews>
    <sheetView zoomScale="90" zoomScaleNormal="90" workbookViewId="0">
      <selection activeCell="E8" sqref="E8"/>
    </sheetView>
  </sheetViews>
  <sheetFormatPr defaultColWidth="0" defaultRowHeight="12.75" zeroHeight="1"/>
  <cols>
    <col min="1" max="1" width="20.6640625" style="28" customWidth="1"/>
    <col min="2" max="2" width="26.83203125" style="28" bestFit="1" customWidth="1"/>
    <col min="3" max="3" width="12" style="28" customWidth="1"/>
    <col min="4" max="15" width="13.33203125" style="28" customWidth="1"/>
    <col min="16" max="16" width="13.33203125" style="115" customWidth="1"/>
    <col min="17" max="25" width="13.33203125" style="28" customWidth="1"/>
    <col min="26" max="26" width="12" style="28" customWidth="1"/>
    <col min="27" max="16384" width="12" style="28" hidden="1"/>
  </cols>
  <sheetData>
    <row r="1" spans="1:25" s="1" customFormat="1" ht="27.75" customHeight="1">
      <c r="C1" s="2" t="s">
        <v>185</v>
      </c>
    </row>
    <row r="2" spans="1:25" s="1" customFormat="1" ht="18" customHeight="1">
      <c r="C2" s="1" t="s">
        <v>169</v>
      </c>
      <c r="D2" s="3" t="str">
        <f>'Universal data'!$D$11</f>
        <v>Demo sands</v>
      </c>
    </row>
    <row r="3" spans="1:25" s="1" customFormat="1" ht="18" customHeight="1">
      <c r="C3" s="1" t="s">
        <v>170</v>
      </c>
      <c r="D3" s="3" t="str">
        <f>'Universal data'!$D$9</f>
        <v>[Offshore transmission operator 1]</v>
      </c>
      <c r="G3" s="5"/>
      <c r="H3" s="5"/>
      <c r="K3" s="5"/>
    </row>
    <row r="4" spans="1:25" s="1" customFormat="1" ht="18" customHeight="1">
      <c r="C4" s="1" t="s">
        <v>171</v>
      </c>
      <c r="D4" s="3" t="str">
        <f>'Universal data'!$D$12-1&amp;"-"&amp;'Universal data'!$D$12-2000</f>
        <v>2012-13</v>
      </c>
      <c r="G4" s="5"/>
      <c r="H4" s="5"/>
      <c r="K4" s="5"/>
    </row>
    <row r="5" spans="1:25">
      <c r="A5" s="26" t="s">
        <v>251</v>
      </c>
    </row>
    <row r="6" spans="1:25" ht="18">
      <c r="B6" s="191" t="s">
        <v>238</v>
      </c>
      <c r="O6" s="115"/>
      <c r="P6" s="28"/>
    </row>
    <row r="7" spans="1:25" ht="13.5" customHeight="1">
      <c r="A7" s="28" t="s">
        <v>266</v>
      </c>
      <c r="O7" s="115"/>
      <c r="P7" s="28"/>
    </row>
    <row r="8" spans="1:25" s="90" customFormat="1">
      <c r="A8" s="379" t="s">
        <v>267</v>
      </c>
      <c r="C8" s="36"/>
      <c r="D8" s="91">
        <f>'1'!D8</f>
        <v>2011</v>
      </c>
      <c r="E8" s="91">
        <f>D8+1</f>
        <v>2012</v>
      </c>
      <c r="F8" s="91">
        <f t="shared" ref="F8:Y8" si="0">E8+1</f>
        <v>2013</v>
      </c>
      <c r="G8" s="91">
        <f t="shared" si="0"/>
        <v>2014</v>
      </c>
      <c r="H8" s="91">
        <f t="shared" si="0"/>
        <v>2015</v>
      </c>
      <c r="I8" s="91">
        <f t="shared" si="0"/>
        <v>2016</v>
      </c>
      <c r="J8" s="91">
        <f t="shared" si="0"/>
        <v>2017</v>
      </c>
      <c r="K8" s="91">
        <f t="shared" si="0"/>
        <v>2018</v>
      </c>
      <c r="L8" s="91">
        <f t="shared" si="0"/>
        <v>2019</v>
      </c>
      <c r="M8" s="91">
        <f t="shared" si="0"/>
        <v>2020</v>
      </c>
      <c r="N8" s="91">
        <f t="shared" si="0"/>
        <v>2021</v>
      </c>
      <c r="O8" s="91">
        <f t="shared" si="0"/>
        <v>2022</v>
      </c>
      <c r="P8" s="91">
        <f t="shared" si="0"/>
        <v>2023</v>
      </c>
      <c r="Q8" s="91">
        <f t="shared" si="0"/>
        <v>2024</v>
      </c>
      <c r="R8" s="91">
        <f t="shared" si="0"/>
        <v>2025</v>
      </c>
      <c r="S8" s="91">
        <f t="shared" si="0"/>
        <v>2026</v>
      </c>
      <c r="T8" s="91">
        <f t="shared" si="0"/>
        <v>2027</v>
      </c>
      <c r="U8" s="91">
        <f t="shared" si="0"/>
        <v>2028</v>
      </c>
      <c r="V8" s="91">
        <f t="shared" si="0"/>
        <v>2029</v>
      </c>
      <c r="W8" s="91">
        <f t="shared" si="0"/>
        <v>2030</v>
      </c>
      <c r="X8" s="91">
        <f t="shared" si="0"/>
        <v>2031</v>
      </c>
      <c r="Y8" s="91">
        <f t="shared" si="0"/>
        <v>2032</v>
      </c>
    </row>
    <row r="9" spans="1:25" s="90" customFormat="1">
      <c r="A9" s="32"/>
      <c r="B9" s="118"/>
      <c r="C9" s="119"/>
      <c r="D9" s="120"/>
      <c r="E9" s="120"/>
      <c r="F9" s="120"/>
      <c r="G9" s="120"/>
      <c r="H9" s="120"/>
      <c r="I9" s="120"/>
      <c r="J9" s="120"/>
      <c r="K9" s="120"/>
      <c r="L9" s="120"/>
      <c r="M9" s="120"/>
      <c r="N9" s="120"/>
      <c r="O9" s="120"/>
      <c r="P9" s="120"/>
      <c r="Q9" s="120"/>
      <c r="R9" s="120"/>
      <c r="S9" s="120"/>
      <c r="T9" s="120"/>
      <c r="U9" s="120"/>
      <c r="V9" s="120"/>
      <c r="W9" s="120"/>
      <c r="X9" s="120"/>
      <c r="Y9" s="120"/>
    </row>
    <row r="10" spans="1:25" ht="14.25">
      <c r="A10" s="32" t="s">
        <v>268</v>
      </c>
      <c r="B10" s="121" t="s">
        <v>263</v>
      </c>
      <c r="C10" s="135" t="s">
        <v>232</v>
      </c>
      <c r="D10" s="221">
        <v>0</v>
      </c>
      <c r="E10" s="221">
        <f t="shared" ref="E10:W10" si="1">(D12-D13)*(1+(D14+(D16*D15)))</f>
        <v>0</v>
      </c>
      <c r="F10" s="221">
        <f t="shared" si="1"/>
        <v>0</v>
      </c>
      <c r="G10" s="221">
        <f t="shared" si="1"/>
        <v>0</v>
      </c>
      <c r="H10" s="221">
        <f>(G12-G13)*(1+(G14+(G16*G15)))</f>
        <v>0</v>
      </c>
      <c r="I10" s="221">
        <f t="shared" si="1"/>
        <v>0</v>
      </c>
      <c r="J10" s="221">
        <f t="shared" si="1"/>
        <v>0</v>
      </c>
      <c r="K10" s="221">
        <f t="shared" si="1"/>
        <v>0</v>
      </c>
      <c r="L10" s="221">
        <f t="shared" si="1"/>
        <v>0</v>
      </c>
      <c r="M10" s="221">
        <f t="shared" si="1"/>
        <v>0</v>
      </c>
      <c r="N10" s="221">
        <f t="shared" si="1"/>
        <v>0</v>
      </c>
      <c r="O10" s="221">
        <f t="shared" si="1"/>
        <v>0</v>
      </c>
      <c r="P10" s="221">
        <f t="shared" si="1"/>
        <v>0</v>
      </c>
      <c r="Q10" s="221">
        <f t="shared" si="1"/>
        <v>0</v>
      </c>
      <c r="R10" s="221">
        <f t="shared" si="1"/>
        <v>0</v>
      </c>
      <c r="S10" s="221">
        <f t="shared" si="1"/>
        <v>0</v>
      </c>
      <c r="T10" s="221">
        <f t="shared" ca="1" si="1"/>
        <v>0</v>
      </c>
      <c r="U10" s="221">
        <f t="shared" ca="1" si="1"/>
        <v>0</v>
      </c>
      <c r="V10" s="221">
        <f t="shared" ca="1" si="1"/>
        <v>0</v>
      </c>
      <c r="W10" s="221">
        <f t="shared" ca="1" si="1"/>
        <v>0</v>
      </c>
      <c r="X10" s="221">
        <f t="shared" ref="X10" ca="1" si="2">(W12-W13)*(1+(W14+(W16*W15)))</f>
        <v>0</v>
      </c>
      <c r="Y10" s="221">
        <f ca="1">(X12-X13)*(1+(X14+(X16*X15)))</f>
        <v>0</v>
      </c>
    </row>
    <row r="11" spans="1:25" ht="14.25">
      <c r="A11" s="379" t="s">
        <v>269</v>
      </c>
      <c r="B11" s="123" t="s">
        <v>224</v>
      </c>
      <c r="C11" s="119"/>
      <c r="D11" s="224"/>
      <c r="E11" s="225"/>
      <c r="F11" s="225"/>
      <c r="G11" s="225"/>
      <c r="H11" s="225"/>
      <c r="I11" s="225"/>
      <c r="J11" s="225"/>
      <c r="K11" s="225"/>
      <c r="L11" s="225"/>
      <c r="M11" s="225"/>
      <c r="N11" s="225"/>
      <c r="O11" s="225"/>
      <c r="P11" s="225"/>
      <c r="Q11" s="225"/>
      <c r="R11" s="225"/>
      <c r="S11" s="225"/>
      <c r="T11" s="225"/>
      <c r="U11" s="225"/>
      <c r="V11" s="225"/>
      <c r="W11" s="225"/>
      <c r="X11" s="225"/>
      <c r="Y11" s="225"/>
    </row>
    <row r="12" spans="1:25" ht="38.25">
      <c r="A12" s="414"/>
      <c r="B12" s="124" t="s">
        <v>80</v>
      </c>
      <c r="C12" s="125" t="s">
        <v>213</v>
      </c>
      <c r="D12" s="215">
        <f>'1'!D11</f>
        <v>0</v>
      </c>
      <c r="E12" s="215">
        <f>'1'!E11</f>
        <v>0</v>
      </c>
      <c r="F12" s="215">
        <f>'1'!F11</f>
        <v>0</v>
      </c>
      <c r="G12" s="215">
        <f>'1'!G11</f>
        <v>0</v>
      </c>
      <c r="H12" s="215">
        <f>'1'!H11</f>
        <v>0</v>
      </c>
      <c r="I12" s="215">
        <f>'1'!I11</f>
        <v>0</v>
      </c>
      <c r="J12" s="215">
        <f>'1'!J11</f>
        <v>0</v>
      </c>
      <c r="K12" s="215">
        <f>'1'!K11</f>
        <v>0</v>
      </c>
      <c r="L12" s="215">
        <f>'1'!L11</f>
        <v>0</v>
      </c>
      <c r="M12" s="215">
        <f>'1'!M11</f>
        <v>0</v>
      </c>
      <c r="N12" s="215">
        <f>'1'!N11</f>
        <v>0</v>
      </c>
      <c r="O12" s="215">
        <f>'1'!O11</f>
        <v>0</v>
      </c>
      <c r="P12" s="215">
        <f>'1'!P11</f>
        <v>0</v>
      </c>
      <c r="Q12" s="215">
        <f>'1'!Q11</f>
        <v>0</v>
      </c>
      <c r="R12" s="215">
        <f>'1'!R11</f>
        <v>0</v>
      </c>
      <c r="S12" s="215">
        <f>'1'!S11</f>
        <v>0</v>
      </c>
      <c r="T12" s="215">
        <f>'1'!T11</f>
        <v>0</v>
      </c>
      <c r="U12" s="215">
        <f>'1'!U11</f>
        <v>0</v>
      </c>
      <c r="V12" s="215">
        <f>'1'!V11</f>
        <v>0</v>
      </c>
      <c r="W12" s="215">
        <f>'1'!W11</f>
        <v>0</v>
      </c>
      <c r="X12" s="215">
        <f>'1'!X11</f>
        <v>0</v>
      </c>
      <c r="Y12" s="235"/>
    </row>
    <row r="13" spans="1:25" ht="25.5">
      <c r="A13" s="415" t="b">
        <v>0</v>
      </c>
      <c r="B13" s="124" t="s">
        <v>64</v>
      </c>
      <c r="C13" s="125" t="s">
        <v>214</v>
      </c>
      <c r="D13" s="217">
        <f>'2a'!D15</f>
        <v>0</v>
      </c>
      <c r="E13" s="217">
        <f>'2a'!E15</f>
        <v>0</v>
      </c>
      <c r="F13" s="217">
        <f>'2a'!F15</f>
        <v>0</v>
      </c>
      <c r="G13" s="217">
        <f>'2a'!G15</f>
        <v>0</v>
      </c>
      <c r="H13" s="217">
        <f>'2a'!H15</f>
        <v>0</v>
      </c>
      <c r="I13" s="217">
        <f>'2a'!I15</f>
        <v>0</v>
      </c>
      <c r="J13" s="217">
        <f>'2a'!J15</f>
        <v>0</v>
      </c>
      <c r="K13" s="217">
        <f>'2a'!K15</f>
        <v>0</v>
      </c>
      <c r="L13" s="217">
        <f>'2a'!L15</f>
        <v>0</v>
      </c>
      <c r="M13" s="217">
        <f>'2a'!M15</f>
        <v>0</v>
      </c>
      <c r="N13" s="217">
        <f>'2a'!N15</f>
        <v>0</v>
      </c>
      <c r="O13" s="217">
        <f>'2a'!O15</f>
        <v>0</v>
      </c>
      <c r="P13" s="217">
        <f>'2a'!P15</f>
        <v>0</v>
      </c>
      <c r="Q13" s="217">
        <f>'2a'!Q15</f>
        <v>0</v>
      </c>
      <c r="R13" s="217">
        <f>'2a'!R15</f>
        <v>0</v>
      </c>
      <c r="S13" s="217">
        <f ca="1">'2a'!S15</f>
        <v>0</v>
      </c>
      <c r="T13" s="217">
        <f ca="1">'2a'!T15</f>
        <v>0</v>
      </c>
      <c r="U13" s="217">
        <f ca="1">'2a'!U15</f>
        <v>0</v>
      </c>
      <c r="V13" s="217">
        <f ca="1">'2a'!V15</f>
        <v>0</v>
      </c>
      <c r="W13" s="217">
        <f ca="1">'2a'!W15</f>
        <v>0</v>
      </c>
      <c r="X13" s="217">
        <f ca="1">'2a'!X15</f>
        <v>0</v>
      </c>
      <c r="Y13" s="230"/>
    </row>
    <row r="14" spans="1:25" ht="14.25">
      <c r="B14" s="124" t="s">
        <v>108</v>
      </c>
      <c r="C14" s="125" t="s">
        <v>215</v>
      </c>
      <c r="D14" s="236">
        <f>'1'!D27</f>
        <v>5.0000000000000001E-3</v>
      </c>
      <c r="E14" s="236">
        <f>'1'!E27</f>
        <v>5.0000000000000001E-3</v>
      </c>
      <c r="F14" s="236">
        <f>'1'!F27</f>
        <v>5.0000000000000001E-3</v>
      </c>
      <c r="G14" s="236">
        <f>'1'!G27</f>
        <v>5.0000000000000001E-3</v>
      </c>
      <c r="H14" s="236">
        <f>'1'!H27</f>
        <v>5.0000000000000001E-3</v>
      </c>
      <c r="I14" s="236">
        <f>'1'!I27</f>
        <v>5.0000000000000001E-3</v>
      </c>
      <c r="J14" s="236">
        <f>'1'!J27</f>
        <v>5.0000000000000001E-3</v>
      </c>
      <c r="K14" s="236">
        <f>'1'!K27</f>
        <v>5.0000000000000001E-3</v>
      </c>
      <c r="L14" s="236">
        <f>'1'!L27</f>
        <v>5.0000000000000001E-3</v>
      </c>
      <c r="M14" s="236">
        <f>'1'!M27</f>
        <v>5.0000000000000001E-3</v>
      </c>
      <c r="N14" s="236">
        <f>'1'!N27</f>
        <v>5.0000000000000001E-3</v>
      </c>
      <c r="O14" s="236">
        <f>'1'!O27</f>
        <v>5.0000000000000001E-3</v>
      </c>
      <c r="P14" s="236">
        <f>'1'!P27</f>
        <v>5.0000000000000001E-3</v>
      </c>
      <c r="Q14" s="236">
        <f>'1'!Q27</f>
        <v>5.0000000000000001E-3</v>
      </c>
      <c r="R14" s="236">
        <f>'1'!R27</f>
        <v>5.0000000000000001E-3</v>
      </c>
      <c r="S14" s="236">
        <f>'1'!S27</f>
        <v>5.0000000000000001E-3</v>
      </c>
      <c r="T14" s="236">
        <f>'1'!T27</f>
        <v>5.0000000000000001E-3</v>
      </c>
      <c r="U14" s="236">
        <f>'1'!U27</f>
        <v>5.0000000000000001E-3</v>
      </c>
      <c r="V14" s="236">
        <f>'1'!V27</f>
        <v>5.0000000000000001E-3</v>
      </c>
      <c r="W14" s="236">
        <f>'1'!W27</f>
        <v>5.0000000000000001E-3</v>
      </c>
      <c r="X14" s="236">
        <f>'1'!X27</f>
        <v>5.0000000000000001E-3</v>
      </c>
      <c r="Y14" s="128"/>
    </row>
    <row r="15" spans="1:25" ht="38.25">
      <c r="B15" s="124" t="s">
        <v>111</v>
      </c>
      <c r="C15" s="125"/>
      <c r="D15" s="202">
        <f>IF(D12&gt;D13*(1+'1'!$E$46),1,0)</f>
        <v>0</v>
      </c>
      <c r="E15" s="202">
        <f>IF(E12&gt;E13*(1+'1'!$E$46),1,0)</f>
        <v>0</v>
      </c>
      <c r="F15" s="202">
        <f>IF(F12&gt;F13*(1+'1'!$E$46),1,0)</f>
        <v>0</v>
      </c>
      <c r="G15" s="202">
        <f>IF(G12&gt;G13*(1+'1'!$E$46),1,0)</f>
        <v>0</v>
      </c>
      <c r="H15" s="202">
        <f>IF(H12&gt;H13*(1+'1'!$E$46),1,0)</f>
        <v>0</v>
      </c>
      <c r="I15" s="202">
        <f>IF(I12&gt;I13*(1+'1'!$E$46),1,0)</f>
        <v>0</v>
      </c>
      <c r="J15" s="202">
        <f>IF(J12&gt;J13*(1+'1'!$E$46),1,0)</f>
        <v>0</v>
      </c>
      <c r="K15" s="202">
        <f>IF(K12&gt;K13*(1+'1'!$E$46),1,0)</f>
        <v>0</v>
      </c>
      <c r="L15" s="202">
        <f>IF(L12&gt;L13*(1+'1'!$E$46),1,0)</f>
        <v>0</v>
      </c>
      <c r="M15" s="202">
        <f>IF(M12&gt;M13*(1+'1'!$E$46),1,0)</f>
        <v>0</v>
      </c>
      <c r="N15" s="202">
        <f>IF(N12&gt;N13*(1+'1'!$E$46),1,0)</f>
        <v>0</v>
      </c>
      <c r="O15" s="202">
        <f>IF(O12&gt;O13*(1+'1'!$E$46),1,0)</f>
        <v>0</v>
      </c>
      <c r="P15" s="202">
        <f>IF(P12&gt;P13*(1+'1'!$E$46),1,0)</f>
        <v>0</v>
      </c>
      <c r="Q15" s="202">
        <f>IF(Q12&gt;Q13*(1+'1'!$E$46),1,0)</f>
        <v>0</v>
      </c>
      <c r="R15" s="202">
        <f>IF(R12&gt;R13*(1+'1'!$E$46),1,0)</f>
        <v>0</v>
      </c>
      <c r="S15" s="202">
        <f ca="1">IF(S12&gt;S13*(1+'1'!$E$46),1,0)</f>
        <v>0</v>
      </c>
      <c r="T15" s="202">
        <f ca="1">IF(T12&gt;T13*(1+'1'!$E$46),1,0)</f>
        <v>0</v>
      </c>
      <c r="U15" s="202">
        <f ca="1">IF(U12&gt;U13*(1+'1'!$E$46),1,0)</f>
        <v>0</v>
      </c>
      <c r="V15" s="202">
        <f ca="1">IF(V12&gt;V13*(1+'1'!$E$46),1,0)</f>
        <v>0</v>
      </c>
      <c r="W15" s="202">
        <f ca="1">IF(W12&gt;W13*(1+'1'!$E$46),1,0)</f>
        <v>0</v>
      </c>
      <c r="X15" s="202">
        <f ca="1">IF(X12&gt;X13*(1+'1'!$E$46),1,0)</f>
        <v>0</v>
      </c>
      <c r="Y15" s="41"/>
    </row>
    <row r="16" spans="1:25" ht="25.5">
      <c r="A16" s="169"/>
      <c r="B16" s="129" t="s">
        <v>87</v>
      </c>
      <c r="C16" s="125" t="s">
        <v>216</v>
      </c>
      <c r="D16" s="233">
        <f>'1'!$E$45</f>
        <v>0.04</v>
      </c>
      <c r="E16" s="233">
        <f>'1'!$E$45</f>
        <v>0.04</v>
      </c>
      <c r="F16" s="233">
        <f>'1'!$E$45</f>
        <v>0.04</v>
      </c>
      <c r="G16" s="233">
        <f>'1'!$E$45</f>
        <v>0.04</v>
      </c>
      <c r="H16" s="233">
        <f>'1'!$E$45</f>
        <v>0.04</v>
      </c>
      <c r="I16" s="233">
        <f>'1'!$E$45</f>
        <v>0.04</v>
      </c>
      <c r="J16" s="233">
        <f>'1'!$E$45</f>
        <v>0.04</v>
      </c>
      <c r="K16" s="233">
        <f>'1'!$E$45</f>
        <v>0.04</v>
      </c>
      <c r="L16" s="233">
        <f>'1'!$E$45</f>
        <v>0.04</v>
      </c>
      <c r="M16" s="233">
        <f>'1'!$E$45</f>
        <v>0.04</v>
      </c>
      <c r="N16" s="233">
        <f>'1'!$E$45</f>
        <v>0.04</v>
      </c>
      <c r="O16" s="233">
        <f>'1'!$E$45</f>
        <v>0.04</v>
      </c>
      <c r="P16" s="233">
        <f>'1'!$E$45</f>
        <v>0.04</v>
      </c>
      <c r="Q16" s="233">
        <f>'1'!$E$45</f>
        <v>0.04</v>
      </c>
      <c r="R16" s="233">
        <f>'1'!$E$45</f>
        <v>0.04</v>
      </c>
      <c r="S16" s="233">
        <f>'1'!$E$45</f>
        <v>0.04</v>
      </c>
      <c r="T16" s="233">
        <f>'1'!$E$45</f>
        <v>0.04</v>
      </c>
      <c r="U16" s="233">
        <f>'1'!$E$45</f>
        <v>0.04</v>
      </c>
      <c r="V16" s="233">
        <f>'1'!$E$45</f>
        <v>0.04</v>
      </c>
      <c r="W16" s="233">
        <f>'1'!$E$45</f>
        <v>0.04</v>
      </c>
      <c r="X16" s="233">
        <f>'1'!$E$45</f>
        <v>0.04</v>
      </c>
      <c r="Y16" s="130"/>
    </row>
    <row r="17" spans="2:25">
      <c r="B17" s="131"/>
      <c r="C17" s="132"/>
      <c r="D17" s="133"/>
      <c r="E17" s="133"/>
      <c r="F17" s="133"/>
      <c r="G17" s="133"/>
      <c r="H17" s="133"/>
      <c r="I17" s="133"/>
      <c r="J17" s="133"/>
      <c r="K17" s="133"/>
      <c r="L17" s="133"/>
      <c r="M17" s="133"/>
      <c r="N17" s="133"/>
      <c r="O17" s="133"/>
      <c r="P17" s="133"/>
      <c r="Q17" s="133"/>
      <c r="R17" s="133"/>
      <c r="S17" s="133"/>
      <c r="T17" s="133"/>
      <c r="U17" s="133"/>
      <c r="V17" s="133"/>
      <c r="W17" s="133"/>
      <c r="X17" s="133"/>
      <c r="Y17" s="133"/>
    </row>
    <row r="18" spans="2:25">
      <c r="D18" s="187"/>
      <c r="O18" s="115"/>
      <c r="P18" s="28"/>
    </row>
    <row r="19" spans="2:25" hidden="1"/>
    <row r="20" spans="2:25" hidden="1"/>
    <row r="21" spans="2:25" hidden="1"/>
    <row r="22" spans="2:25" hidden="1"/>
    <row r="23" spans="2:25" hidden="1"/>
    <row r="24" spans="2:25" hidden="1"/>
    <row r="25" spans="2:25" hidden="1"/>
    <row r="26" spans="2:25" hidden="1"/>
    <row r="27" spans="2:25" hidden="1"/>
    <row r="28" spans="2:25" hidden="1"/>
    <row r="29" spans="2:25" hidden="1"/>
    <row r="30" spans="2:25" hidden="1"/>
    <row r="31" spans="2:25" hidden="1"/>
    <row r="32" spans="2:25" hidden="1"/>
    <row r="33" hidden="1"/>
    <row r="34" hidden="1"/>
    <row r="35" hidden="1"/>
    <row r="36" hidden="1"/>
    <row r="37" hidden="1"/>
    <row r="38" hidden="1"/>
    <row r="39" hidden="1"/>
    <row r="40" hidden="1"/>
    <row r="41" hidden="1"/>
    <row r="42" hidden="1"/>
    <row r="43" hidden="1"/>
    <row r="44" hidden="1"/>
    <row r="45" hidden="1"/>
    <row r="46" hidden="1"/>
  </sheetData>
  <sheetProtection sheet="1" objects="1" scenarios="1"/>
  <conditionalFormatting sqref="A8 A11">
    <cfRule type="cellIs" dxfId="25" priority="3" operator="equal">
      <formula>"O"</formula>
    </cfRule>
    <cfRule type="cellIs" dxfId="24" priority="4" operator="equal">
      <formula>"P"</formula>
    </cfRule>
  </conditionalFormatting>
  <hyperlinks>
    <hyperlink ref="A5" location="'Sign off'!A1" display="Index"/>
  </hyperlinks>
  <printOptions horizontalCentered="1" headings="1"/>
  <pageMargins left="0" right="0" top="0" bottom="0.35433070866141736" header="0" footer="0"/>
  <pageSetup paperSize="8" scale="67" orientation="landscape" r:id="rId1"/>
  <headerFooter>
    <oddFooter>&amp;L&amp;Z&amp;F&amp;A&amp;C&amp;P&amp;R&amp;D</oddFooter>
  </headerFooter>
  <drawing r:id="rId2"/>
  <legacyDrawing r:id="rId3"/>
</worksheet>
</file>

<file path=xl/worksheets/sheet11.xml><?xml version="1.0" encoding="utf-8"?>
<worksheet xmlns="http://schemas.openxmlformats.org/spreadsheetml/2006/main" xmlns:r="http://schemas.openxmlformats.org/officeDocument/2006/relationships">
  <sheetPr codeName="Sheet1">
    <pageSetUpPr fitToPage="1"/>
  </sheetPr>
  <dimension ref="A1:AB77"/>
  <sheetViews>
    <sheetView zoomScale="90" zoomScaleNormal="90" workbookViewId="0">
      <selection activeCell="L8" sqref="L8"/>
    </sheetView>
  </sheetViews>
  <sheetFormatPr defaultColWidth="0" defaultRowHeight="12.75" zeroHeight="1"/>
  <cols>
    <col min="1" max="1" width="20.6640625" style="28" customWidth="1"/>
    <col min="2" max="2" width="33.83203125" style="43" customWidth="1"/>
    <col min="3" max="3" width="11.5" style="43" customWidth="1"/>
    <col min="4" max="4" width="5.83203125" style="43" customWidth="1"/>
    <col min="5" max="5" width="11.83203125" style="43" customWidth="1"/>
    <col min="6" max="27" width="13.33203125" style="43" customWidth="1"/>
    <col min="28" max="28" width="11.83203125" style="43" customWidth="1"/>
    <col min="29" max="16384" width="11.83203125" style="43" hidden="1"/>
  </cols>
  <sheetData>
    <row r="1" spans="1:27" s="1" customFormat="1" ht="27.75" customHeight="1">
      <c r="C1" s="2" t="s">
        <v>185</v>
      </c>
    </row>
    <row r="2" spans="1:27" s="1" customFormat="1" ht="18" customHeight="1">
      <c r="C2" s="1" t="s">
        <v>169</v>
      </c>
      <c r="D2" s="3" t="str">
        <f>'Universal data'!$D$11</f>
        <v>Demo sands</v>
      </c>
    </row>
    <row r="3" spans="1:27" s="1" customFormat="1" ht="18" customHeight="1">
      <c r="C3" s="1" t="s">
        <v>170</v>
      </c>
      <c r="D3" s="3" t="str">
        <f>'Universal data'!$D$9</f>
        <v>[Offshore transmission operator 1]</v>
      </c>
      <c r="G3" s="5"/>
      <c r="H3" s="5"/>
      <c r="K3" s="5"/>
    </row>
    <row r="4" spans="1:27" s="1" customFormat="1" ht="18" customHeight="1">
      <c r="C4" s="1" t="s">
        <v>171</v>
      </c>
      <c r="D4" s="3" t="str">
        <f>'Universal data'!$D$12-1&amp;"-"&amp;'Universal data'!$D$12-2000</f>
        <v>2012-13</v>
      </c>
      <c r="G4" s="5"/>
      <c r="H4" s="5"/>
      <c r="K4" s="5"/>
    </row>
    <row r="5" spans="1:27">
      <c r="A5" s="26" t="s">
        <v>251</v>
      </c>
      <c r="P5" s="45"/>
    </row>
    <row r="6" spans="1:27" ht="18">
      <c r="A6" s="43"/>
      <c r="B6" s="193" t="s">
        <v>239</v>
      </c>
    </row>
    <row r="7" spans="1:27">
      <c r="A7" s="43" t="s">
        <v>266</v>
      </c>
    </row>
    <row r="8" spans="1:27" s="44" customFormat="1">
      <c r="A8" s="379" t="s">
        <v>267</v>
      </c>
      <c r="C8" s="114"/>
      <c r="E8" s="36"/>
      <c r="F8" s="91">
        <f>'1'!D8</f>
        <v>2011</v>
      </c>
      <c r="G8" s="91">
        <f>F8+1</f>
        <v>2012</v>
      </c>
      <c r="H8" s="91">
        <f t="shared" ref="H8:AA8" si="0">G8+1</f>
        <v>2013</v>
      </c>
      <c r="I8" s="91">
        <f t="shared" si="0"/>
        <v>2014</v>
      </c>
      <c r="J8" s="91">
        <f t="shared" si="0"/>
        <v>2015</v>
      </c>
      <c r="K8" s="91">
        <f t="shared" si="0"/>
        <v>2016</v>
      </c>
      <c r="L8" s="91">
        <f t="shared" si="0"/>
        <v>2017</v>
      </c>
      <c r="M8" s="91">
        <f t="shared" si="0"/>
        <v>2018</v>
      </c>
      <c r="N8" s="91">
        <f t="shared" si="0"/>
        <v>2019</v>
      </c>
      <c r="O8" s="91">
        <f t="shared" si="0"/>
        <v>2020</v>
      </c>
      <c r="P8" s="91">
        <f t="shared" si="0"/>
        <v>2021</v>
      </c>
      <c r="Q8" s="91">
        <f t="shared" si="0"/>
        <v>2022</v>
      </c>
      <c r="R8" s="91">
        <f t="shared" si="0"/>
        <v>2023</v>
      </c>
      <c r="S8" s="91">
        <f t="shared" si="0"/>
        <v>2024</v>
      </c>
      <c r="T8" s="91">
        <f t="shared" si="0"/>
        <v>2025</v>
      </c>
      <c r="U8" s="91">
        <f t="shared" si="0"/>
        <v>2026</v>
      </c>
      <c r="V8" s="91">
        <f t="shared" si="0"/>
        <v>2027</v>
      </c>
      <c r="W8" s="91">
        <f t="shared" si="0"/>
        <v>2028</v>
      </c>
      <c r="X8" s="91">
        <f t="shared" si="0"/>
        <v>2029</v>
      </c>
      <c r="Y8" s="91">
        <f t="shared" si="0"/>
        <v>2030</v>
      </c>
      <c r="Z8" s="91">
        <f t="shared" si="0"/>
        <v>2031</v>
      </c>
      <c r="AA8" s="91">
        <f t="shared" si="0"/>
        <v>2032</v>
      </c>
    </row>
    <row r="9" spans="1:27">
      <c r="A9" s="32"/>
      <c r="B9" s="47"/>
      <c r="C9" s="48"/>
      <c r="D9" s="48"/>
      <c r="E9" s="48"/>
      <c r="F9" s="48"/>
      <c r="G9" s="92"/>
      <c r="H9" s="48"/>
      <c r="I9" s="48"/>
      <c r="J9" s="48"/>
      <c r="K9" s="48"/>
      <c r="L9" s="48"/>
      <c r="M9" s="48"/>
      <c r="N9" s="48"/>
      <c r="O9" s="47"/>
      <c r="P9" s="47"/>
      <c r="Q9" s="47"/>
      <c r="R9" s="47"/>
      <c r="S9" s="47"/>
      <c r="T9" s="47"/>
      <c r="U9" s="47"/>
      <c r="V9" s="47"/>
      <c r="W9" s="47"/>
      <c r="X9" s="47"/>
      <c r="Y9" s="47"/>
      <c r="Z9" s="47"/>
      <c r="AA9" s="47"/>
    </row>
    <row r="10" spans="1:27" s="46" customFormat="1" ht="38.25">
      <c r="A10" s="32" t="s">
        <v>268</v>
      </c>
      <c r="B10" s="50" t="s">
        <v>68</v>
      </c>
      <c r="C10" s="454" t="s">
        <v>188</v>
      </c>
      <c r="D10" s="462"/>
      <c r="E10" s="462"/>
      <c r="F10" s="237">
        <f t="shared" ref="F10:AA10" si="1">F12+F22+F33-F54</f>
        <v>0</v>
      </c>
      <c r="G10" s="237">
        <f t="shared" si="1"/>
        <v>0</v>
      </c>
      <c r="H10" s="237">
        <f t="shared" si="1"/>
        <v>0</v>
      </c>
      <c r="I10" s="237">
        <f t="shared" si="1"/>
        <v>0</v>
      </c>
      <c r="J10" s="237">
        <f t="shared" si="1"/>
        <v>0</v>
      </c>
      <c r="K10" s="237">
        <f t="shared" si="1"/>
        <v>0</v>
      </c>
      <c r="L10" s="237">
        <f t="shared" si="1"/>
        <v>0</v>
      </c>
      <c r="M10" s="237">
        <f t="shared" si="1"/>
        <v>0</v>
      </c>
      <c r="N10" s="237">
        <f t="shared" si="1"/>
        <v>0</v>
      </c>
      <c r="O10" s="237">
        <f t="shared" si="1"/>
        <v>0</v>
      </c>
      <c r="P10" s="237">
        <f t="shared" si="1"/>
        <v>0</v>
      </c>
      <c r="Q10" s="237">
        <f t="shared" si="1"/>
        <v>0</v>
      </c>
      <c r="R10" s="237">
        <f t="shared" si="1"/>
        <v>0</v>
      </c>
      <c r="S10" s="237">
        <f t="shared" si="1"/>
        <v>0</v>
      </c>
      <c r="T10" s="237">
        <f t="shared" si="1"/>
        <v>0</v>
      </c>
      <c r="U10" s="237">
        <f t="shared" ca="1" si="1"/>
        <v>0</v>
      </c>
      <c r="V10" s="237">
        <f t="shared" ca="1" si="1"/>
        <v>0</v>
      </c>
      <c r="W10" s="237">
        <f t="shared" ca="1" si="1"/>
        <v>0</v>
      </c>
      <c r="X10" s="237">
        <f t="shared" ca="1" si="1"/>
        <v>0</v>
      </c>
      <c r="Y10" s="237">
        <f t="shared" ca="1" si="1"/>
        <v>0</v>
      </c>
      <c r="Z10" s="237">
        <f t="shared" ca="1" si="1"/>
        <v>0</v>
      </c>
      <c r="AA10" s="237">
        <f t="shared" ca="1" si="1"/>
        <v>0</v>
      </c>
    </row>
    <row r="11" spans="1:27" ht="14.25">
      <c r="A11" s="379" t="s">
        <v>269</v>
      </c>
      <c r="B11" s="51" t="s">
        <v>306</v>
      </c>
      <c r="C11" s="455"/>
      <c r="D11" s="318"/>
      <c r="E11" s="31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s="46" customFormat="1" ht="14.25">
      <c r="A12" s="414"/>
      <c r="B12" s="50" t="s">
        <v>67</v>
      </c>
      <c r="C12" s="454" t="s">
        <v>190</v>
      </c>
      <c r="D12" s="462"/>
      <c r="E12" s="462"/>
      <c r="F12" s="237">
        <f>(F14+F15+F16)*F17*F18</f>
        <v>0</v>
      </c>
      <c r="G12" s="237">
        <f t="shared" ref="G12:Y12" si="2">(G14+G15+G16)*G17*G18</f>
        <v>0</v>
      </c>
      <c r="H12" s="237">
        <f t="shared" si="2"/>
        <v>0</v>
      </c>
      <c r="I12" s="237">
        <f t="shared" si="2"/>
        <v>0</v>
      </c>
      <c r="J12" s="237">
        <f t="shared" si="2"/>
        <v>0</v>
      </c>
      <c r="K12" s="237">
        <f t="shared" si="2"/>
        <v>0</v>
      </c>
      <c r="L12" s="237">
        <f t="shared" si="2"/>
        <v>0</v>
      </c>
      <c r="M12" s="237">
        <f t="shared" si="2"/>
        <v>0</v>
      </c>
      <c r="N12" s="237">
        <f t="shared" si="2"/>
        <v>0</v>
      </c>
      <c r="O12" s="237">
        <f t="shared" si="2"/>
        <v>0</v>
      </c>
      <c r="P12" s="237">
        <f t="shared" si="2"/>
        <v>0</v>
      </c>
      <c r="Q12" s="237">
        <f t="shared" si="2"/>
        <v>0</v>
      </c>
      <c r="R12" s="237">
        <f t="shared" si="2"/>
        <v>0</v>
      </c>
      <c r="S12" s="237">
        <f t="shared" si="2"/>
        <v>0</v>
      </c>
      <c r="T12" s="237">
        <f t="shared" si="2"/>
        <v>0</v>
      </c>
      <c r="U12" s="237">
        <f t="shared" si="2"/>
        <v>0</v>
      </c>
      <c r="V12" s="237">
        <f t="shared" si="2"/>
        <v>0</v>
      </c>
      <c r="W12" s="237">
        <f t="shared" si="2"/>
        <v>0</v>
      </c>
      <c r="X12" s="237">
        <f t="shared" si="2"/>
        <v>0</v>
      </c>
      <c r="Y12" s="237">
        <f t="shared" si="2"/>
        <v>0</v>
      </c>
      <c r="Z12" s="237">
        <f t="shared" ref="Z12:AA12" si="3">(Z14+Z15+Z16)*Z17*Z18</f>
        <v>0</v>
      </c>
      <c r="AA12" s="237">
        <f t="shared" si="3"/>
        <v>0</v>
      </c>
    </row>
    <row r="13" spans="1:27" ht="14.25">
      <c r="A13" s="415" t="b">
        <v>0</v>
      </c>
      <c r="B13" s="51" t="s">
        <v>310</v>
      </c>
      <c r="C13" s="327"/>
      <c r="D13" s="327"/>
      <c r="E13" s="327"/>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7" ht="25.5">
      <c r="B14" s="55" t="s">
        <v>131</v>
      </c>
      <c r="C14" s="457" t="s">
        <v>1</v>
      </c>
      <c r="D14" s="281"/>
      <c r="E14" s="281"/>
      <c r="F14" s="240">
        <f>'1'!D29</f>
        <v>0</v>
      </c>
      <c r="G14" s="240">
        <f>F14</f>
        <v>0</v>
      </c>
      <c r="H14" s="240">
        <f t="shared" ref="H14:Y15" si="4">G14</f>
        <v>0</v>
      </c>
      <c r="I14" s="240">
        <f t="shared" si="4"/>
        <v>0</v>
      </c>
      <c r="J14" s="240">
        <f t="shared" si="4"/>
        <v>0</v>
      </c>
      <c r="K14" s="240">
        <f t="shared" si="4"/>
        <v>0</v>
      </c>
      <c r="L14" s="240">
        <f t="shared" si="4"/>
        <v>0</v>
      </c>
      <c r="M14" s="240">
        <f t="shared" si="4"/>
        <v>0</v>
      </c>
      <c r="N14" s="240">
        <f t="shared" si="4"/>
        <v>0</v>
      </c>
      <c r="O14" s="240">
        <f t="shared" si="4"/>
        <v>0</v>
      </c>
      <c r="P14" s="240">
        <f t="shared" si="4"/>
        <v>0</v>
      </c>
      <c r="Q14" s="240">
        <f t="shared" si="4"/>
        <v>0</v>
      </c>
      <c r="R14" s="240">
        <f t="shared" si="4"/>
        <v>0</v>
      </c>
      <c r="S14" s="240">
        <f t="shared" si="4"/>
        <v>0</v>
      </c>
      <c r="T14" s="240">
        <f t="shared" si="4"/>
        <v>0</v>
      </c>
      <c r="U14" s="240">
        <f t="shared" si="4"/>
        <v>0</v>
      </c>
      <c r="V14" s="240">
        <f t="shared" si="4"/>
        <v>0</v>
      </c>
      <c r="W14" s="240">
        <f t="shared" si="4"/>
        <v>0</v>
      </c>
      <c r="X14" s="240">
        <f t="shared" si="4"/>
        <v>0</v>
      </c>
      <c r="Y14" s="240">
        <f t="shared" si="4"/>
        <v>0</v>
      </c>
      <c r="Z14" s="240">
        <f t="shared" ref="Z14:Z16" si="5">Y14</f>
        <v>0</v>
      </c>
      <c r="AA14" s="241"/>
    </row>
    <row r="15" spans="1:27" ht="25.5">
      <c r="B15" s="55" t="s">
        <v>134</v>
      </c>
      <c r="C15" s="457" t="s">
        <v>54</v>
      </c>
      <c r="D15" s="281"/>
      <c r="E15" s="281"/>
      <c r="F15" s="240">
        <f>'1'!D30</f>
        <v>0</v>
      </c>
      <c r="G15" s="240">
        <f>F15</f>
        <v>0</v>
      </c>
      <c r="H15" s="240">
        <f t="shared" si="4"/>
        <v>0</v>
      </c>
      <c r="I15" s="240">
        <f t="shared" si="4"/>
        <v>0</v>
      </c>
      <c r="J15" s="240">
        <f t="shared" si="4"/>
        <v>0</v>
      </c>
      <c r="K15" s="240">
        <f t="shared" si="4"/>
        <v>0</v>
      </c>
      <c r="L15" s="240">
        <f t="shared" si="4"/>
        <v>0</v>
      </c>
      <c r="M15" s="240">
        <f t="shared" si="4"/>
        <v>0</v>
      </c>
      <c r="N15" s="240">
        <f t="shared" si="4"/>
        <v>0</v>
      </c>
      <c r="O15" s="240">
        <f t="shared" si="4"/>
        <v>0</v>
      </c>
      <c r="P15" s="240">
        <f t="shared" si="4"/>
        <v>0</v>
      </c>
      <c r="Q15" s="240">
        <f t="shared" si="4"/>
        <v>0</v>
      </c>
      <c r="R15" s="240">
        <f t="shared" si="4"/>
        <v>0</v>
      </c>
      <c r="S15" s="240">
        <f t="shared" si="4"/>
        <v>0</v>
      </c>
      <c r="T15" s="240">
        <f t="shared" si="4"/>
        <v>0</v>
      </c>
      <c r="U15" s="240">
        <f t="shared" si="4"/>
        <v>0</v>
      </c>
      <c r="V15" s="240">
        <f t="shared" si="4"/>
        <v>0</v>
      </c>
      <c r="W15" s="240">
        <f t="shared" si="4"/>
        <v>0</v>
      </c>
      <c r="X15" s="240">
        <f t="shared" si="4"/>
        <v>0</v>
      </c>
      <c r="Y15" s="240">
        <f t="shared" si="4"/>
        <v>0</v>
      </c>
      <c r="Z15" s="240">
        <f t="shared" si="5"/>
        <v>0</v>
      </c>
      <c r="AA15" s="241"/>
    </row>
    <row r="16" spans="1:27" ht="25.5">
      <c r="A16" s="169"/>
      <c r="B16" s="55" t="s">
        <v>133</v>
      </c>
      <c r="C16" s="457" t="s">
        <v>5</v>
      </c>
      <c r="D16" s="281"/>
      <c r="E16" s="281"/>
      <c r="F16" s="240">
        <f>'1'!D31</f>
        <v>0</v>
      </c>
      <c r="G16" s="240">
        <f>F16</f>
        <v>0</v>
      </c>
      <c r="H16" s="240">
        <f t="shared" ref="H16:Y16" si="6">G16</f>
        <v>0</v>
      </c>
      <c r="I16" s="240">
        <f t="shared" si="6"/>
        <v>0</v>
      </c>
      <c r="J16" s="240">
        <f t="shared" si="6"/>
        <v>0</v>
      </c>
      <c r="K16" s="240">
        <f t="shared" si="6"/>
        <v>0</v>
      </c>
      <c r="L16" s="240">
        <f t="shared" si="6"/>
        <v>0</v>
      </c>
      <c r="M16" s="240">
        <f t="shared" si="6"/>
        <v>0</v>
      </c>
      <c r="N16" s="240">
        <f t="shared" si="6"/>
        <v>0</v>
      </c>
      <c r="O16" s="240">
        <f t="shared" si="6"/>
        <v>0</v>
      </c>
      <c r="P16" s="240">
        <f t="shared" si="6"/>
        <v>0</v>
      </c>
      <c r="Q16" s="240">
        <f t="shared" si="6"/>
        <v>0</v>
      </c>
      <c r="R16" s="240">
        <f t="shared" si="6"/>
        <v>0</v>
      </c>
      <c r="S16" s="240">
        <f t="shared" si="6"/>
        <v>0</v>
      </c>
      <c r="T16" s="240">
        <f t="shared" si="6"/>
        <v>0</v>
      </c>
      <c r="U16" s="240">
        <f t="shared" si="6"/>
        <v>0</v>
      </c>
      <c r="V16" s="240">
        <f t="shared" si="6"/>
        <v>0</v>
      </c>
      <c r="W16" s="240">
        <f t="shared" si="6"/>
        <v>0</v>
      </c>
      <c r="X16" s="240">
        <f t="shared" si="6"/>
        <v>0</v>
      </c>
      <c r="Y16" s="240">
        <f t="shared" si="6"/>
        <v>0</v>
      </c>
      <c r="Z16" s="240">
        <f t="shared" si="5"/>
        <v>0</v>
      </c>
      <c r="AA16" s="241"/>
    </row>
    <row r="17" spans="1:27" ht="14.25">
      <c r="B17" s="55" t="s">
        <v>65</v>
      </c>
      <c r="C17" s="457" t="s">
        <v>194</v>
      </c>
      <c r="D17" s="281"/>
      <c r="E17" s="281"/>
      <c r="F17" s="240">
        <f>'1'!D32</f>
        <v>0.9</v>
      </c>
      <c r="G17" s="240">
        <f>'1'!E32</f>
        <v>1</v>
      </c>
      <c r="H17" s="240">
        <f>'1'!F32</f>
        <v>1</v>
      </c>
      <c r="I17" s="240">
        <f>'1'!G32</f>
        <v>1</v>
      </c>
      <c r="J17" s="240">
        <f>'1'!H32</f>
        <v>1</v>
      </c>
      <c r="K17" s="240">
        <f>'1'!I32</f>
        <v>1</v>
      </c>
      <c r="L17" s="240">
        <f>'1'!J32</f>
        <v>1</v>
      </c>
      <c r="M17" s="240">
        <f>'1'!K32</f>
        <v>1</v>
      </c>
      <c r="N17" s="240">
        <f>'1'!L32</f>
        <v>1</v>
      </c>
      <c r="O17" s="240">
        <f>'1'!M32</f>
        <v>1</v>
      </c>
      <c r="P17" s="240">
        <f>'1'!N32</f>
        <v>1</v>
      </c>
      <c r="Q17" s="240">
        <f>'1'!O32</f>
        <v>1</v>
      </c>
      <c r="R17" s="240">
        <f>'1'!P32</f>
        <v>1</v>
      </c>
      <c r="S17" s="240">
        <f>'1'!Q32</f>
        <v>1</v>
      </c>
      <c r="T17" s="240">
        <f>'1'!R32</f>
        <v>1</v>
      </c>
      <c r="U17" s="240">
        <f>'1'!S32</f>
        <v>1</v>
      </c>
      <c r="V17" s="240">
        <f>'1'!T32</f>
        <v>1</v>
      </c>
      <c r="W17" s="240">
        <f>'1'!U32</f>
        <v>1</v>
      </c>
      <c r="X17" s="240">
        <f>'1'!V32</f>
        <v>1</v>
      </c>
      <c r="Y17" s="240">
        <f>'1'!W32</f>
        <v>1</v>
      </c>
      <c r="Z17" s="240">
        <f>'1'!X32</f>
        <v>9.9999999999999978E-2</v>
      </c>
      <c r="AA17" s="241"/>
    </row>
    <row r="18" spans="1:27" ht="14.25">
      <c r="B18" s="60" t="s">
        <v>103</v>
      </c>
      <c r="C18" s="458" t="s">
        <v>195</v>
      </c>
      <c r="D18" s="438"/>
      <c r="E18" s="438"/>
      <c r="F18" s="242">
        <f>(1+F20)</f>
        <v>1</v>
      </c>
      <c r="G18" s="242">
        <f>(1+G20)*F18</f>
        <v>1</v>
      </c>
      <c r="H18" s="242">
        <f t="shared" ref="H18:Y18" si="7">(1+H20)*G18</f>
        <v>1</v>
      </c>
      <c r="I18" s="242">
        <f t="shared" si="7"/>
        <v>1</v>
      </c>
      <c r="J18" s="242">
        <f t="shared" si="7"/>
        <v>1</v>
      </c>
      <c r="K18" s="242">
        <f t="shared" si="7"/>
        <v>1</v>
      </c>
      <c r="L18" s="242">
        <f t="shared" si="7"/>
        <v>1</v>
      </c>
      <c r="M18" s="242">
        <f t="shared" si="7"/>
        <v>1</v>
      </c>
      <c r="N18" s="242">
        <f t="shared" si="7"/>
        <v>1</v>
      </c>
      <c r="O18" s="242">
        <f t="shared" si="7"/>
        <v>1</v>
      </c>
      <c r="P18" s="242">
        <f t="shared" si="7"/>
        <v>1</v>
      </c>
      <c r="Q18" s="242">
        <f t="shared" si="7"/>
        <v>1</v>
      </c>
      <c r="R18" s="242">
        <f t="shared" si="7"/>
        <v>1</v>
      </c>
      <c r="S18" s="242">
        <f t="shared" si="7"/>
        <v>1</v>
      </c>
      <c r="T18" s="242">
        <f t="shared" si="7"/>
        <v>1</v>
      </c>
      <c r="U18" s="242">
        <f t="shared" si="7"/>
        <v>1</v>
      </c>
      <c r="V18" s="242">
        <f t="shared" si="7"/>
        <v>1</v>
      </c>
      <c r="W18" s="242">
        <f t="shared" si="7"/>
        <v>1</v>
      </c>
      <c r="X18" s="242">
        <f t="shared" si="7"/>
        <v>1</v>
      </c>
      <c r="Y18" s="242">
        <f t="shared" si="7"/>
        <v>1</v>
      </c>
      <c r="Z18" s="242">
        <f t="shared" ref="Z18" si="8">(1+Z20)*Y18</f>
        <v>1</v>
      </c>
      <c r="AA18" s="243"/>
    </row>
    <row r="19" spans="1:27" ht="14.25">
      <c r="B19" s="61" t="s">
        <v>197</v>
      </c>
      <c r="C19" s="459"/>
      <c r="D19" s="355"/>
      <c r="E19" s="355"/>
      <c r="F19" s="62"/>
      <c r="G19" s="62"/>
      <c r="H19" s="62"/>
      <c r="I19" s="62"/>
      <c r="J19" s="62"/>
      <c r="K19" s="62"/>
      <c r="L19" s="62"/>
      <c r="M19" s="62"/>
      <c r="N19" s="62"/>
      <c r="O19" s="62"/>
      <c r="P19" s="62"/>
      <c r="Q19" s="62"/>
      <c r="R19" s="62"/>
      <c r="S19" s="62"/>
      <c r="T19" s="62"/>
      <c r="U19" s="62"/>
      <c r="V19" s="62"/>
      <c r="W19" s="62"/>
      <c r="X19" s="62"/>
      <c r="Y19" s="62"/>
      <c r="Z19" s="62"/>
      <c r="AA19" s="62"/>
    </row>
    <row r="20" spans="1:27" ht="25.5">
      <c r="B20" s="60" t="s">
        <v>112</v>
      </c>
      <c r="C20" s="458"/>
      <c r="D20" s="452" t="s">
        <v>198</v>
      </c>
      <c r="E20" s="438"/>
      <c r="F20" s="244">
        <f>'1'!D13</f>
        <v>0</v>
      </c>
      <c r="G20" s="244">
        <f>'1'!E13</f>
        <v>0</v>
      </c>
      <c r="H20" s="244">
        <f>'1'!F13</f>
        <v>0</v>
      </c>
      <c r="I20" s="244">
        <f>'1'!G13</f>
        <v>0</v>
      </c>
      <c r="J20" s="244">
        <f>'1'!H13</f>
        <v>0</v>
      </c>
      <c r="K20" s="244">
        <f>'1'!I13</f>
        <v>0</v>
      </c>
      <c r="L20" s="244">
        <f>'1'!J13</f>
        <v>0</v>
      </c>
      <c r="M20" s="244">
        <f>'1'!K13</f>
        <v>0</v>
      </c>
      <c r="N20" s="244">
        <f>'1'!L13</f>
        <v>0</v>
      </c>
      <c r="O20" s="244">
        <f>'1'!M13</f>
        <v>0</v>
      </c>
      <c r="P20" s="244">
        <f>'1'!N13</f>
        <v>0</v>
      </c>
      <c r="Q20" s="244">
        <f>'1'!O13</f>
        <v>0</v>
      </c>
      <c r="R20" s="244">
        <f>'1'!P13</f>
        <v>0</v>
      </c>
      <c r="S20" s="244">
        <f>'1'!Q13</f>
        <v>0</v>
      </c>
      <c r="T20" s="244">
        <f>'1'!R13</f>
        <v>0</v>
      </c>
      <c r="U20" s="244">
        <f>'1'!S13</f>
        <v>0</v>
      </c>
      <c r="V20" s="244">
        <f>'1'!T13</f>
        <v>0</v>
      </c>
      <c r="W20" s="244">
        <f>'1'!U13</f>
        <v>0</v>
      </c>
      <c r="X20" s="244">
        <f>'1'!V13</f>
        <v>0</v>
      </c>
      <c r="Y20" s="244">
        <f>'1'!W13</f>
        <v>0</v>
      </c>
      <c r="Z20" s="244">
        <f>'1'!X13</f>
        <v>0</v>
      </c>
      <c r="AA20" s="99"/>
    </row>
    <row r="21" spans="1:27">
      <c r="B21" s="63"/>
      <c r="C21" s="463"/>
      <c r="D21" s="318"/>
      <c r="E21" s="318"/>
      <c r="F21" s="64"/>
      <c r="G21" s="64"/>
      <c r="H21" s="64"/>
      <c r="I21" s="64"/>
      <c r="J21" s="64"/>
      <c r="K21" s="64"/>
      <c r="L21" s="64"/>
      <c r="M21" s="64"/>
      <c r="N21" s="64"/>
      <c r="O21" s="64"/>
      <c r="P21" s="64"/>
      <c r="Q21" s="64"/>
      <c r="R21" s="64"/>
      <c r="S21" s="64"/>
      <c r="T21" s="64"/>
      <c r="U21" s="64"/>
      <c r="V21" s="64"/>
      <c r="W21" s="64"/>
      <c r="X21" s="64"/>
      <c r="Y21" s="64"/>
      <c r="Z21" s="64"/>
      <c r="AA21" s="64"/>
    </row>
    <row r="22" spans="1:27" s="46" customFormat="1" ht="14.25">
      <c r="A22" s="28"/>
      <c r="B22" s="50" t="s">
        <v>85</v>
      </c>
      <c r="C22" s="454" t="s">
        <v>200</v>
      </c>
      <c r="D22" s="462"/>
      <c r="E22" s="462"/>
      <c r="F22" s="237">
        <f>F24+F25+F26+F27+F28+F29+F30+F31</f>
        <v>0</v>
      </c>
      <c r="G22" s="237">
        <f t="shared" ref="G22:AA22" si="9">G24+G25+G26+G27+G28+G29+G30+G31</f>
        <v>0</v>
      </c>
      <c r="H22" s="237">
        <f t="shared" si="9"/>
        <v>0</v>
      </c>
      <c r="I22" s="237">
        <f t="shared" si="9"/>
        <v>0</v>
      </c>
      <c r="J22" s="237">
        <f t="shared" si="9"/>
        <v>0</v>
      </c>
      <c r="K22" s="237">
        <f t="shared" si="9"/>
        <v>0</v>
      </c>
      <c r="L22" s="237">
        <f t="shared" si="9"/>
        <v>0</v>
      </c>
      <c r="M22" s="237">
        <f t="shared" si="9"/>
        <v>0</v>
      </c>
      <c r="N22" s="237">
        <f t="shared" si="9"/>
        <v>0</v>
      </c>
      <c r="O22" s="237">
        <f t="shared" si="9"/>
        <v>0</v>
      </c>
      <c r="P22" s="237">
        <f t="shared" si="9"/>
        <v>0</v>
      </c>
      <c r="Q22" s="237">
        <f t="shared" si="9"/>
        <v>0</v>
      </c>
      <c r="R22" s="237">
        <f t="shared" si="9"/>
        <v>0</v>
      </c>
      <c r="S22" s="237">
        <f t="shared" si="9"/>
        <v>0</v>
      </c>
      <c r="T22" s="237">
        <f t="shared" si="9"/>
        <v>0</v>
      </c>
      <c r="U22" s="237">
        <f t="shared" si="9"/>
        <v>0</v>
      </c>
      <c r="V22" s="237">
        <f t="shared" si="9"/>
        <v>0</v>
      </c>
      <c r="W22" s="237">
        <f t="shared" si="9"/>
        <v>0</v>
      </c>
      <c r="X22" s="237">
        <f t="shared" si="9"/>
        <v>0</v>
      </c>
      <c r="Y22" s="237">
        <f t="shared" si="9"/>
        <v>0</v>
      </c>
      <c r="Z22" s="237">
        <f t="shared" si="9"/>
        <v>0</v>
      </c>
      <c r="AA22" s="237">
        <f t="shared" si="9"/>
        <v>0</v>
      </c>
    </row>
    <row r="23" spans="1:27" ht="14.25">
      <c r="B23" s="123" t="s">
        <v>227</v>
      </c>
      <c r="C23" s="123"/>
      <c r="D23" s="123"/>
      <c r="E23" s="123"/>
      <c r="F23" s="66"/>
      <c r="G23" s="100"/>
      <c r="H23" s="100"/>
      <c r="I23" s="100"/>
      <c r="J23" s="100"/>
      <c r="K23" s="100"/>
      <c r="L23" s="100"/>
      <c r="M23" s="100"/>
      <c r="N23" s="100"/>
      <c r="O23" s="100"/>
      <c r="P23" s="100"/>
      <c r="Q23" s="100"/>
      <c r="R23" s="100"/>
      <c r="S23" s="100"/>
      <c r="T23" s="100"/>
      <c r="U23" s="100"/>
      <c r="V23" s="100"/>
      <c r="W23" s="100"/>
      <c r="X23" s="100"/>
      <c r="Y23" s="100"/>
      <c r="Z23" s="100"/>
      <c r="AA23" s="100"/>
    </row>
    <row r="24" spans="1:27" ht="25.5">
      <c r="B24" s="67" t="s">
        <v>69</v>
      </c>
      <c r="C24" s="460" t="s">
        <v>201</v>
      </c>
      <c r="D24" s="281"/>
      <c r="E24" s="464"/>
      <c r="F24" s="245">
        <f>'1'!D15</f>
        <v>0</v>
      </c>
      <c r="G24" s="245">
        <f>'1'!E15</f>
        <v>0</v>
      </c>
      <c r="H24" s="245">
        <f>'1'!F15</f>
        <v>0</v>
      </c>
      <c r="I24" s="245">
        <f>'1'!G15</f>
        <v>0</v>
      </c>
      <c r="J24" s="245">
        <f>'1'!H15</f>
        <v>0</v>
      </c>
      <c r="K24" s="245">
        <f>'1'!I15</f>
        <v>0</v>
      </c>
      <c r="L24" s="245">
        <f>'1'!J15</f>
        <v>0</v>
      </c>
      <c r="M24" s="245">
        <f>'1'!K15</f>
        <v>0</v>
      </c>
      <c r="N24" s="245">
        <f>'1'!L15</f>
        <v>0</v>
      </c>
      <c r="O24" s="245">
        <f>'1'!M15</f>
        <v>0</v>
      </c>
      <c r="P24" s="245">
        <f>'1'!N15</f>
        <v>0</v>
      </c>
      <c r="Q24" s="245">
        <f>'1'!O15</f>
        <v>0</v>
      </c>
      <c r="R24" s="245">
        <f>'1'!P15</f>
        <v>0</v>
      </c>
      <c r="S24" s="245">
        <f>'1'!Q15</f>
        <v>0</v>
      </c>
      <c r="T24" s="245">
        <f>'1'!R15</f>
        <v>0</v>
      </c>
      <c r="U24" s="245">
        <f>'1'!S15</f>
        <v>0</v>
      </c>
      <c r="V24" s="245">
        <f>'1'!T15</f>
        <v>0</v>
      </c>
      <c r="W24" s="245">
        <f>'1'!U15</f>
        <v>0</v>
      </c>
      <c r="X24" s="245">
        <f>'1'!V15</f>
        <v>0</v>
      </c>
      <c r="Y24" s="245">
        <f>'1'!W15</f>
        <v>0</v>
      </c>
      <c r="Z24" s="245">
        <f>'1'!X15</f>
        <v>0</v>
      </c>
      <c r="AA24" s="102"/>
    </row>
    <row r="25" spans="1:27" ht="25.5">
      <c r="B25" s="55" t="s">
        <v>102</v>
      </c>
      <c r="C25" s="457" t="s">
        <v>202</v>
      </c>
      <c r="D25" s="281"/>
      <c r="E25" s="464"/>
      <c r="F25" s="240">
        <f>'1'!D16</f>
        <v>0</v>
      </c>
      <c r="G25" s="240">
        <f>'1'!E16</f>
        <v>0</v>
      </c>
      <c r="H25" s="240">
        <f>'1'!F16</f>
        <v>0</v>
      </c>
      <c r="I25" s="240">
        <f>'1'!G16</f>
        <v>0</v>
      </c>
      <c r="J25" s="240">
        <f>'1'!H16</f>
        <v>0</v>
      </c>
      <c r="K25" s="240">
        <f>'1'!I16</f>
        <v>0</v>
      </c>
      <c r="L25" s="240">
        <f>'1'!J16</f>
        <v>0</v>
      </c>
      <c r="M25" s="240">
        <f>'1'!K16</f>
        <v>0</v>
      </c>
      <c r="N25" s="240">
        <f>'1'!L16</f>
        <v>0</v>
      </c>
      <c r="O25" s="240">
        <f>'1'!M16</f>
        <v>0</v>
      </c>
      <c r="P25" s="240">
        <f>'1'!N16</f>
        <v>0</v>
      </c>
      <c r="Q25" s="240">
        <f>'1'!O16</f>
        <v>0</v>
      </c>
      <c r="R25" s="240">
        <f>'1'!P16</f>
        <v>0</v>
      </c>
      <c r="S25" s="240">
        <f>'1'!Q16</f>
        <v>0</v>
      </c>
      <c r="T25" s="240">
        <f>'1'!R16</f>
        <v>0</v>
      </c>
      <c r="U25" s="240">
        <f>'1'!S16</f>
        <v>0</v>
      </c>
      <c r="V25" s="240">
        <f>'1'!T16</f>
        <v>0</v>
      </c>
      <c r="W25" s="240">
        <f>'1'!U16</f>
        <v>0</v>
      </c>
      <c r="X25" s="240">
        <f>'1'!V16</f>
        <v>0</v>
      </c>
      <c r="Y25" s="240">
        <f>'1'!W16</f>
        <v>0</v>
      </c>
      <c r="Z25" s="240">
        <f>'1'!X16</f>
        <v>0</v>
      </c>
      <c r="AA25" s="103"/>
    </row>
    <row r="26" spans="1:27" ht="25.5">
      <c r="B26" s="54" t="s">
        <v>92</v>
      </c>
      <c r="C26" s="457" t="s">
        <v>203</v>
      </c>
      <c r="D26" s="281"/>
      <c r="E26" s="464"/>
      <c r="F26" s="240">
        <f>'1'!D17</f>
        <v>0</v>
      </c>
      <c r="G26" s="240">
        <f>'1'!E17</f>
        <v>0</v>
      </c>
      <c r="H26" s="240">
        <f>'1'!F17</f>
        <v>0</v>
      </c>
      <c r="I26" s="240">
        <f>'1'!G17</f>
        <v>0</v>
      </c>
      <c r="J26" s="240">
        <f>'1'!H17</f>
        <v>0</v>
      </c>
      <c r="K26" s="240">
        <f>'1'!I17</f>
        <v>0</v>
      </c>
      <c r="L26" s="240">
        <f>'1'!J17</f>
        <v>0</v>
      </c>
      <c r="M26" s="240">
        <f>'1'!K17</f>
        <v>0</v>
      </c>
      <c r="N26" s="240">
        <f>'1'!L17</f>
        <v>0</v>
      </c>
      <c r="O26" s="240">
        <f>'1'!M17</f>
        <v>0</v>
      </c>
      <c r="P26" s="240">
        <f>'1'!N17</f>
        <v>0</v>
      </c>
      <c r="Q26" s="240">
        <f>'1'!O17</f>
        <v>0</v>
      </c>
      <c r="R26" s="240">
        <f>'1'!P17</f>
        <v>0</v>
      </c>
      <c r="S26" s="240">
        <f>'1'!Q17</f>
        <v>0</v>
      </c>
      <c r="T26" s="240">
        <f>'1'!R17</f>
        <v>0</v>
      </c>
      <c r="U26" s="240">
        <f>'1'!S17</f>
        <v>0</v>
      </c>
      <c r="V26" s="240">
        <f>'1'!T17</f>
        <v>0</v>
      </c>
      <c r="W26" s="240">
        <f>'1'!U17</f>
        <v>0</v>
      </c>
      <c r="X26" s="240">
        <f>'1'!V17</f>
        <v>0</v>
      </c>
      <c r="Y26" s="240">
        <f>'1'!W17</f>
        <v>0</v>
      </c>
      <c r="Z26" s="240">
        <f>'1'!X17</f>
        <v>0</v>
      </c>
      <c r="AA26" s="103"/>
    </row>
    <row r="27" spans="1:27" ht="25.5">
      <c r="B27" s="54" t="s">
        <v>70</v>
      </c>
      <c r="C27" s="457" t="s">
        <v>205</v>
      </c>
      <c r="D27" s="281"/>
      <c r="E27" s="464"/>
      <c r="F27" s="240">
        <f>'1'!D18</f>
        <v>0</v>
      </c>
      <c r="G27" s="240">
        <f>'1'!E18</f>
        <v>0</v>
      </c>
      <c r="H27" s="240">
        <f>'1'!F18</f>
        <v>0</v>
      </c>
      <c r="I27" s="240">
        <f>'1'!G18</f>
        <v>0</v>
      </c>
      <c r="J27" s="240">
        <f>'1'!H18</f>
        <v>0</v>
      </c>
      <c r="K27" s="240">
        <f>'1'!I18</f>
        <v>0</v>
      </c>
      <c r="L27" s="240">
        <f>'1'!J18</f>
        <v>0</v>
      </c>
      <c r="M27" s="240">
        <f>'1'!K18</f>
        <v>0</v>
      </c>
      <c r="N27" s="240">
        <f>'1'!L18</f>
        <v>0</v>
      </c>
      <c r="O27" s="240">
        <f>'1'!M18</f>
        <v>0</v>
      </c>
      <c r="P27" s="240">
        <f>'1'!N18</f>
        <v>0</v>
      </c>
      <c r="Q27" s="240">
        <f>'1'!O18</f>
        <v>0</v>
      </c>
      <c r="R27" s="240">
        <f>'1'!P18</f>
        <v>0</v>
      </c>
      <c r="S27" s="240">
        <f>'1'!Q18</f>
        <v>0</v>
      </c>
      <c r="T27" s="240">
        <f>'1'!R18</f>
        <v>0</v>
      </c>
      <c r="U27" s="240">
        <f>'1'!S18</f>
        <v>0</v>
      </c>
      <c r="V27" s="240">
        <f>'1'!T18</f>
        <v>0</v>
      </c>
      <c r="W27" s="240">
        <f>'1'!U18</f>
        <v>0</v>
      </c>
      <c r="X27" s="240">
        <f>'1'!V18</f>
        <v>0</v>
      </c>
      <c r="Y27" s="240">
        <f>'1'!W18</f>
        <v>0</v>
      </c>
      <c r="Z27" s="240">
        <f>'1'!X18</f>
        <v>0</v>
      </c>
      <c r="AA27" s="103"/>
    </row>
    <row r="28" spans="1:27" ht="25.5">
      <c r="B28" s="54" t="s">
        <v>93</v>
      </c>
      <c r="C28" s="457" t="s">
        <v>207</v>
      </c>
      <c r="D28" s="281"/>
      <c r="E28" s="464"/>
      <c r="F28" s="240">
        <f>'1'!D19</f>
        <v>0</v>
      </c>
      <c r="G28" s="240">
        <f>'1'!E19</f>
        <v>0</v>
      </c>
      <c r="H28" s="240">
        <f>'1'!F19</f>
        <v>0</v>
      </c>
      <c r="I28" s="240">
        <f>'1'!G19</f>
        <v>0</v>
      </c>
      <c r="J28" s="240">
        <f>'1'!H19</f>
        <v>0</v>
      </c>
      <c r="K28" s="240">
        <f>'1'!I19</f>
        <v>0</v>
      </c>
      <c r="L28" s="240">
        <f>'1'!J19</f>
        <v>0</v>
      </c>
      <c r="M28" s="240">
        <f>'1'!K19</f>
        <v>0</v>
      </c>
      <c r="N28" s="240">
        <f>'1'!L19</f>
        <v>0</v>
      </c>
      <c r="O28" s="240">
        <f>'1'!M19</f>
        <v>0</v>
      </c>
      <c r="P28" s="240">
        <f>'1'!N19</f>
        <v>0</v>
      </c>
      <c r="Q28" s="240">
        <f>'1'!O19</f>
        <v>0</v>
      </c>
      <c r="R28" s="240">
        <f>'1'!P19</f>
        <v>0</v>
      </c>
      <c r="S28" s="240">
        <f>'1'!Q19</f>
        <v>0</v>
      </c>
      <c r="T28" s="240">
        <f>'1'!R19</f>
        <v>0</v>
      </c>
      <c r="U28" s="240">
        <f>'1'!S19</f>
        <v>0</v>
      </c>
      <c r="V28" s="240">
        <f>'1'!T19</f>
        <v>0</v>
      </c>
      <c r="W28" s="240">
        <f>'1'!U19</f>
        <v>0</v>
      </c>
      <c r="X28" s="240">
        <f>'1'!V19</f>
        <v>0</v>
      </c>
      <c r="Y28" s="240">
        <f>'1'!W19</f>
        <v>0</v>
      </c>
      <c r="Z28" s="240">
        <f>'1'!X19</f>
        <v>0</v>
      </c>
      <c r="AA28" s="103"/>
    </row>
    <row r="29" spans="1:27" ht="25.5">
      <c r="B29" s="54" t="s">
        <v>72</v>
      </c>
      <c r="C29" s="457" t="s">
        <v>208</v>
      </c>
      <c r="D29" s="281"/>
      <c r="E29" s="464"/>
      <c r="F29" s="240">
        <f>'1'!D20</f>
        <v>0</v>
      </c>
      <c r="G29" s="240">
        <f>'1'!E20</f>
        <v>0</v>
      </c>
      <c r="H29" s="240">
        <f>'1'!F20</f>
        <v>0</v>
      </c>
      <c r="I29" s="240">
        <f>'1'!G20</f>
        <v>0</v>
      </c>
      <c r="J29" s="240">
        <f>'1'!H20</f>
        <v>0</v>
      </c>
      <c r="K29" s="240">
        <f>'1'!I20</f>
        <v>0</v>
      </c>
      <c r="L29" s="240">
        <f>'1'!J20</f>
        <v>0</v>
      </c>
      <c r="M29" s="240">
        <f>'1'!K20</f>
        <v>0</v>
      </c>
      <c r="N29" s="240">
        <f>'1'!L20</f>
        <v>0</v>
      </c>
      <c r="O29" s="240">
        <f>'1'!M20</f>
        <v>0</v>
      </c>
      <c r="P29" s="240">
        <f>'1'!N20</f>
        <v>0</v>
      </c>
      <c r="Q29" s="240">
        <f>'1'!O20</f>
        <v>0</v>
      </c>
      <c r="R29" s="240">
        <f>'1'!P20</f>
        <v>0</v>
      </c>
      <c r="S29" s="240">
        <f>'1'!Q20</f>
        <v>0</v>
      </c>
      <c r="T29" s="240">
        <f>'1'!R20</f>
        <v>0</v>
      </c>
      <c r="U29" s="240">
        <f>'1'!S20</f>
        <v>0</v>
      </c>
      <c r="V29" s="240">
        <f>'1'!T20</f>
        <v>0</v>
      </c>
      <c r="W29" s="240">
        <f>'1'!U20</f>
        <v>0</v>
      </c>
      <c r="X29" s="240">
        <f>'1'!V20</f>
        <v>0</v>
      </c>
      <c r="Y29" s="240">
        <f>'1'!W20</f>
        <v>0</v>
      </c>
      <c r="Z29" s="240">
        <f>'1'!X20</f>
        <v>0</v>
      </c>
      <c r="AA29" s="103"/>
    </row>
    <row r="30" spans="1:27" ht="14.25">
      <c r="B30" s="54" t="s">
        <v>94</v>
      </c>
      <c r="C30" s="457" t="s">
        <v>210</v>
      </c>
      <c r="D30" s="281"/>
      <c r="E30" s="281"/>
      <c r="F30" s="240">
        <f>'1'!D21</f>
        <v>0</v>
      </c>
      <c r="G30" s="240">
        <f>'1'!E21</f>
        <v>0</v>
      </c>
      <c r="H30" s="240">
        <f>'1'!F21</f>
        <v>0</v>
      </c>
      <c r="I30" s="240">
        <f>'1'!G21</f>
        <v>0</v>
      </c>
      <c r="J30" s="240">
        <f>'1'!H21</f>
        <v>0</v>
      </c>
      <c r="K30" s="240">
        <f>'1'!I21</f>
        <v>0</v>
      </c>
      <c r="L30" s="240">
        <f>'1'!J21</f>
        <v>0</v>
      </c>
      <c r="M30" s="240">
        <f>'1'!K21</f>
        <v>0</v>
      </c>
      <c r="N30" s="240">
        <f>'1'!L21</f>
        <v>0</v>
      </c>
      <c r="O30" s="240">
        <f>'1'!M21</f>
        <v>0</v>
      </c>
      <c r="P30" s="240">
        <f>'1'!N21</f>
        <v>0</v>
      </c>
      <c r="Q30" s="240">
        <f>'1'!O21</f>
        <v>0</v>
      </c>
      <c r="R30" s="240">
        <f>'1'!P21</f>
        <v>0</v>
      </c>
      <c r="S30" s="240">
        <f>'1'!Q21</f>
        <v>0</v>
      </c>
      <c r="T30" s="240">
        <f>'1'!R21</f>
        <v>0</v>
      </c>
      <c r="U30" s="240">
        <f>'1'!S21</f>
        <v>0</v>
      </c>
      <c r="V30" s="240">
        <f>'1'!T21</f>
        <v>0</v>
      </c>
      <c r="W30" s="240">
        <f>'1'!U21</f>
        <v>0</v>
      </c>
      <c r="X30" s="240">
        <f>'1'!V21</f>
        <v>0</v>
      </c>
      <c r="Y30" s="240">
        <f>'1'!W21</f>
        <v>0</v>
      </c>
      <c r="Z30" s="240">
        <f>'1'!X21</f>
        <v>0</v>
      </c>
      <c r="AA30" s="103"/>
    </row>
    <row r="31" spans="1:27" ht="25.5">
      <c r="B31" s="70" t="s">
        <v>71</v>
      </c>
      <c r="C31" s="458" t="s">
        <v>212</v>
      </c>
      <c r="D31" s="438"/>
      <c r="E31" s="438"/>
      <c r="F31" s="242">
        <f>'1'!D22</f>
        <v>0</v>
      </c>
      <c r="G31" s="242">
        <f>'1'!E22</f>
        <v>0</v>
      </c>
      <c r="H31" s="242">
        <f>'1'!F22</f>
        <v>0</v>
      </c>
      <c r="I31" s="242">
        <f>'1'!G22</f>
        <v>0</v>
      </c>
      <c r="J31" s="242">
        <f>'1'!H22</f>
        <v>0</v>
      </c>
      <c r="K31" s="242">
        <f>'1'!I22</f>
        <v>0</v>
      </c>
      <c r="L31" s="242">
        <f>'1'!J22</f>
        <v>0</v>
      </c>
      <c r="M31" s="242">
        <f>'1'!K22</f>
        <v>0</v>
      </c>
      <c r="N31" s="242">
        <f>'1'!L22</f>
        <v>0</v>
      </c>
      <c r="O31" s="242">
        <f>'1'!M22</f>
        <v>0</v>
      </c>
      <c r="P31" s="242">
        <f>'1'!N22</f>
        <v>0</v>
      </c>
      <c r="Q31" s="242">
        <f>'1'!O22</f>
        <v>0</v>
      </c>
      <c r="R31" s="242">
        <f>'1'!P22</f>
        <v>0</v>
      </c>
      <c r="S31" s="242">
        <f>'1'!Q22</f>
        <v>0</v>
      </c>
      <c r="T31" s="242">
        <f>'1'!R22</f>
        <v>0</v>
      </c>
      <c r="U31" s="242">
        <f>'1'!S22</f>
        <v>0</v>
      </c>
      <c r="V31" s="242">
        <f>'1'!T22</f>
        <v>0</v>
      </c>
      <c r="W31" s="242">
        <f>'1'!U22</f>
        <v>0</v>
      </c>
      <c r="X31" s="242">
        <f>'1'!V22</f>
        <v>0</v>
      </c>
      <c r="Y31" s="242">
        <f>'1'!W22</f>
        <v>0</v>
      </c>
      <c r="Z31" s="242">
        <f>'1'!X22</f>
        <v>0</v>
      </c>
      <c r="AA31" s="104"/>
    </row>
    <row r="32" spans="1:27">
      <c r="B32" s="63"/>
      <c r="C32" s="455"/>
      <c r="D32" s="318"/>
      <c r="E32" s="318"/>
      <c r="F32" s="238"/>
      <c r="G32" s="238"/>
      <c r="H32" s="238"/>
      <c r="I32" s="238"/>
      <c r="J32" s="238"/>
      <c r="K32" s="238"/>
      <c r="L32" s="238"/>
      <c r="M32" s="238"/>
      <c r="N32" s="238"/>
      <c r="O32" s="238"/>
      <c r="P32" s="238"/>
      <c r="Q32" s="238"/>
      <c r="R32" s="238"/>
      <c r="S32" s="238"/>
      <c r="T32" s="238"/>
      <c r="U32" s="238"/>
      <c r="V32" s="238"/>
      <c r="W32" s="238"/>
      <c r="X32" s="238"/>
      <c r="Y32" s="238"/>
      <c r="Z32" s="238"/>
      <c r="AA32" s="53"/>
    </row>
    <row r="33" spans="1:27" s="46" customFormat="1" ht="14.25">
      <c r="A33" s="28"/>
      <c r="B33" s="49" t="s">
        <v>104</v>
      </c>
      <c r="C33" s="454" t="s">
        <v>187</v>
      </c>
      <c r="D33" s="462"/>
      <c r="E33" s="462"/>
      <c r="F33" s="237">
        <f>F35+F40+F42</f>
        <v>0</v>
      </c>
      <c r="G33" s="237">
        <f>G35+G40+G42</f>
        <v>0</v>
      </c>
      <c r="H33" s="237">
        <f t="shared" ref="H33:Y33" si="10">H35+H40+H42</f>
        <v>0</v>
      </c>
      <c r="I33" s="237">
        <f t="shared" si="10"/>
        <v>0</v>
      </c>
      <c r="J33" s="237">
        <f t="shared" si="10"/>
        <v>0</v>
      </c>
      <c r="K33" s="237">
        <f t="shared" si="10"/>
        <v>0</v>
      </c>
      <c r="L33" s="237">
        <f t="shared" si="10"/>
        <v>0</v>
      </c>
      <c r="M33" s="237">
        <f t="shared" si="10"/>
        <v>0</v>
      </c>
      <c r="N33" s="237">
        <f t="shared" si="10"/>
        <v>0</v>
      </c>
      <c r="O33" s="237">
        <f t="shared" si="10"/>
        <v>0</v>
      </c>
      <c r="P33" s="237">
        <f t="shared" si="10"/>
        <v>0</v>
      </c>
      <c r="Q33" s="237">
        <f t="shared" si="10"/>
        <v>0</v>
      </c>
      <c r="R33" s="237">
        <f t="shared" si="10"/>
        <v>0</v>
      </c>
      <c r="S33" s="237">
        <f t="shared" si="10"/>
        <v>0</v>
      </c>
      <c r="T33" s="237">
        <f t="shared" si="10"/>
        <v>0</v>
      </c>
      <c r="U33" s="237">
        <f t="shared" ca="1" si="10"/>
        <v>0</v>
      </c>
      <c r="V33" s="237">
        <f t="shared" ca="1" si="10"/>
        <v>0</v>
      </c>
      <c r="W33" s="237">
        <f t="shared" ca="1" si="10"/>
        <v>0</v>
      </c>
      <c r="X33" s="237">
        <f t="shared" ca="1" si="10"/>
        <v>0</v>
      </c>
      <c r="Y33" s="237">
        <f t="shared" ca="1" si="10"/>
        <v>0</v>
      </c>
      <c r="Z33" s="237">
        <f t="shared" ref="Z33:AA33" ca="1" si="11">Z35+Z40+Z42</f>
        <v>0</v>
      </c>
      <c r="AA33" s="204">
        <f t="shared" ca="1" si="11"/>
        <v>0</v>
      </c>
    </row>
    <row r="34" spans="1:27">
      <c r="B34" s="51" t="s">
        <v>309</v>
      </c>
      <c r="C34" s="456"/>
      <c r="D34" s="327"/>
      <c r="E34" s="327"/>
      <c r="F34" s="246"/>
      <c r="G34" s="239"/>
      <c r="H34" s="239"/>
      <c r="I34" s="239"/>
      <c r="J34" s="239"/>
      <c r="K34" s="239"/>
      <c r="L34" s="239"/>
      <c r="M34" s="239"/>
      <c r="N34" s="239"/>
      <c r="O34" s="239"/>
      <c r="P34" s="239"/>
      <c r="Q34" s="239"/>
      <c r="R34" s="239"/>
      <c r="S34" s="239"/>
      <c r="T34" s="239"/>
      <c r="U34" s="239"/>
      <c r="V34" s="239"/>
      <c r="W34" s="239"/>
      <c r="X34" s="239"/>
      <c r="Y34" s="239"/>
      <c r="Z34" s="239"/>
      <c r="AA34" s="59"/>
    </row>
    <row r="35" spans="1:27" ht="25.5">
      <c r="B35" s="54" t="s">
        <v>74</v>
      </c>
      <c r="C35" s="457" t="s">
        <v>189</v>
      </c>
      <c r="D35" s="281"/>
      <c r="E35" s="281"/>
      <c r="F35" s="240"/>
      <c r="G35" s="240">
        <f>((F12/F17)*F38*0)-(F12*F37)</f>
        <v>0</v>
      </c>
      <c r="H35" s="240">
        <f>((G12/G17)*G38*0)-(G12*G37)</f>
        <v>0</v>
      </c>
      <c r="I35" s="240">
        <f>((H12/H17)*H38*0)-(H12*H37)</f>
        <v>0</v>
      </c>
      <c r="J35" s="240">
        <f>((I12/I17)*I38*0)-(I12*I37)</f>
        <v>0</v>
      </c>
      <c r="K35" s="240">
        <f>((J12/J17)*J38*E17)-(J12*J37)</f>
        <v>0</v>
      </c>
      <c r="L35" s="240">
        <f t="shared" ref="L35:AA35" si="12">((K12/K17)*K38*F17)-(K12*K37)</f>
        <v>0</v>
      </c>
      <c r="M35" s="240">
        <f t="shared" si="12"/>
        <v>0</v>
      </c>
      <c r="N35" s="240">
        <f t="shared" si="12"/>
        <v>0</v>
      </c>
      <c r="O35" s="240">
        <f t="shared" si="12"/>
        <v>0</v>
      </c>
      <c r="P35" s="240">
        <f t="shared" si="12"/>
        <v>0</v>
      </c>
      <c r="Q35" s="240">
        <f t="shared" si="12"/>
        <v>0</v>
      </c>
      <c r="R35" s="240">
        <f t="shared" si="12"/>
        <v>0</v>
      </c>
      <c r="S35" s="240">
        <f t="shared" si="12"/>
        <v>0</v>
      </c>
      <c r="T35" s="240">
        <f t="shared" si="12"/>
        <v>0</v>
      </c>
      <c r="U35" s="240">
        <f t="shared" ca="1" si="12"/>
        <v>0</v>
      </c>
      <c r="V35" s="240">
        <f t="shared" ca="1" si="12"/>
        <v>0</v>
      </c>
      <c r="W35" s="240">
        <f t="shared" ca="1" si="12"/>
        <v>0</v>
      </c>
      <c r="X35" s="240">
        <f t="shared" ca="1" si="12"/>
        <v>0</v>
      </c>
      <c r="Y35" s="240">
        <f t="shared" ca="1" si="12"/>
        <v>0</v>
      </c>
      <c r="Z35" s="240">
        <f t="shared" ca="1" si="12"/>
        <v>0</v>
      </c>
      <c r="AA35" s="205">
        <f t="shared" ca="1" si="12"/>
        <v>0</v>
      </c>
    </row>
    <row r="36" spans="1:27">
      <c r="B36" s="51" t="s">
        <v>165</v>
      </c>
      <c r="C36" s="456"/>
      <c r="D36" s="327"/>
      <c r="E36" s="327"/>
      <c r="F36" s="59"/>
      <c r="G36" s="59"/>
      <c r="H36" s="59"/>
      <c r="I36" s="59"/>
      <c r="J36" s="59"/>
      <c r="K36" s="59"/>
      <c r="L36" s="59"/>
      <c r="M36" s="59"/>
      <c r="N36" s="59"/>
      <c r="O36" s="59"/>
      <c r="P36" s="59"/>
      <c r="Q36" s="59"/>
      <c r="R36" s="59"/>
      <c r="S36" s="59"/>
      <c r="T36" s="59"/>
      <c r="U36" s="59"/>
      <c r="V36" s="59"/>
      <c r="W36" s="59"/>
      <c r="X36" s="59"/>
      <c r="Y36" s="59"/>
      <c r="Z36" s="59"/>
      <c r="AA36" s="59"/>
    </row>
    <row r="37" spans="1:27" ht="25.5">
      <c r="B37" s="54" t="s">
        <v>109</v>
      </c>
      <c r="C37" s="457"/>
      <c r="D37" s="451" t="s">
        <v>191</v>
      </c>
      <c r="E37" s="281"/>
      <c r="F37" s="250">
        <f>'4b'!$K$16</f>
        <v>0</v>
      </c>
      <c r="G37" s="250">
        <f>'4b'!$K$17</f>
        <v>0</v>
      </c>
      <c r="H37" s="250">
        <f>'4b'!$K$18</f>
        <v>0</v>
      </c>
      <c r="I37" s="250">
        <f>'4b'!$K$19</f>
        <v>0</v>
      </c>
      <c r="J37" s="250">
        <f>'4b'!$K$20</f>
        <v>0</v>
      </c>
      <c r="K37" s="250">
        <f>'4b'!$K$21</f>
        <v>0</v>
      </c>
      <c r="L37" s="250">
        <f>'4b'!$K$22</f>
        <v>0</v>
      </c>
      <c r="M37" s="250">
        <f>'4b'!$K$23</f>
        <v>0</v>
      </c>
      <c r="N37" s="250">
        <f>'4b'!$K$24</f>
        <v>0</v>
      </c>
      <c r="O37" s="250">
        <f>'4b'!$K$25</f>
        <v>0</v>
      </c>
      <c r="P37" s="250">
        <f>'4b'!$K$26</f>
        <v>0</v>
      </c>
      <c r="Q37" s="250">
        <f>'4b'!$K$27</f>
        <v>0</v>
      </c>
      <c r="R37" s="250">
        <f>'4b'!$K$28</f>
        <v>0</v>
      </c>
      <c r="S37" s="250">
        <f>'4b'!$K$29</f>
        <v>0</v>
      </c>
      <c r="T37" s="250">
        <f ca="1">'4b'!$K$30</f>
        <v>0</v>
      </c>
      <c r="U37" s="250">
        <f ca="1">'4b'!$K$31</f>
        <v>0</v>
      </c>
      <c r="V37" s="250">
        <f ca="1">'4b'!$K$32</f>
        <v>0</v>
      </c>
      <c r="W37" s="250">
        <f ca="1">'4b'!$K$33</f>
        <v>0</v>
      </c>
      <c r="X37" s="250">
        <f ca="1">'4b'!$K$34</f>
        <v>0</v>
      </c>
      <c r="Y37" s="250">
        <f ca="1">'4b'!$K$35</f>
        <v>0</v>
      </c>
      <c r="Z37" s="250">
        <f ca="1">'4b'!$K$35</f>
        <v>0</v>
      </c>
      <c r="AA37" s="105"/>
    </row>
    <row r="38" spans="1:27" ht="25.5">
      <c r="B38" s="54" t="s">
        <v>75</v>
      </c>
      <c r="C38" s="457"/>
      <c r="D38" s="451" t="s">
        <v>192</v>
      </c>
      <c r="E38" s="281"/>
      <c r="F38" s="250"/>
      <c r="G38" s="250"/>
      <c r="H38" s="250"/>
      <c r="I38" s="250"/>
      <c r="J38" s="250"/>
      <c r="K38" s="250">
        <f>'4b'!$M$21</f>
        <v>4.9924709103354004E-2</v>
      </c>
      <c r="L38" s="250">
        <f>'4b'!$M$22</f>
        <v>4.9924709103354004E-2</v>
      </c>
      <c r="M38" s="250">
        <f>'4b'!$M$23</f>
        <v>4.9924709103354004E-2</v>
      </c>
      <c r="N38" s="250">
        <f>'4b'!$M$24</f>
        <v>4.9924709103354004E-2</v>
      </c>
      <c r="O38" s="250">
        <f>'4b'!$M$25</f>
        <v>4.9924709103354004E-2</v>
      </c>
      <c r="P38" s="250">
        <f>'4b'!$M$26</f>
        <v>4.9924709103354004E-2</v>
      </c>
      <c r="Q38" s="250">
        <f>'4b'!$M$27</f>
        <v>4.9924709103354004E-2</v>
      </c>
      <c r="R38" s="250">
        <f>'4b'!$M$28</f>
        <v>4.9924709103354004E-2</v>
      </c>
      <c r="S38" s="250">
        <f>'4b'!$M$29</f>
        <v>4.9924709103354004E-2</v>
      </c>
      <c r="T38" s="250">
        <f>'4b'!$M$30</f>
        <v>4.9924709103354004E-2</v>
      </c>
      <c r="U38" s="250">
        <f ca="1">'4b'!$M$31</f>
        <v>4.9924709103354004E-2</v>
      </c>
      <c r="V38" s="250">
        <f ca="1">'4b'!$M$32</f>
        <v>4.9924709103354004E-2</v>
      </c>
      <c r="W38" s="250">
        <f ca="1">'4b'!$M$33</f>
        <v>4.9924709103354004E-2</v>
      </c>
      <c r="X38" s="250">
        <f ca="1">'4b'!$M$34</f>
        <v>4.9924709103354004E-2</v>
      </c>
      <c r="Y38" s="250">
        <f ca="1">'4b'!$M$35</f>
        <v>4.9924709103354004E-2</v>
      </c>
      <c r="Z38" s="250">
        <f ca="1">'4b'!$M$35</f>
        <v>4.9924709103354004E-2</v>
      </c>
      <c r="AA38" s="105"/>
    </row>
    <row r="39" spans="1:27">
      <c r="B39" s="56"/>
      <c r="C39" s="456"/>
      <c r="D39" s="461"/>
      <c r="E39" s="327"/>
      <c r="F39" s="107"/>
      <c r="G39" s="107"/>
      <c r="H39" s="107"/>
      <c r="I39" s="107"/>
      <c r="J39" s="107"/>
      <c r="K39" s="107"/>
      <c r="L39" s="107"/>
      <c r="M39" s="107"/>
      <c r="N39" s="107"/>
      <c r="O39" s="107"/>
      <c r="P39" s="107"/>
      <c r="Q39" s="107"/>
      <c r="R39" s="107"/>
      <c r="S39" s="107"/>
      <c r="T39" s="107"/>
      <c r="U39" s="107"/>
      <c r="V39" s="107"/>
      <c r="W39" s="107"/>
      <c r="X39" s="107"/>
      <c r="Y39" s="107"/>
      <c r="Z39" s="107"/>
      <c r="AA39" s="107"/>
    </row>
    <row r="40" spans="1:27" ht="25.5">
      <c r="B40" s="57" t="s">
        <v>76</v>
      </c>
      <c r="C40" s="274" t="s">
        <v>193</v>
      </c>
      <c r="D40" s="453"/>
      <c r="E40" s="273"/>
      <c r="F40" s="58"/>
      <c r="G40" s="58"/>
      <c r="H40" s="58"/>
      <c r="I40" s="58"/>
      <c r="J40" s="58"/>
      <c r="K40" s="58"/>
      <c r="L40" s="58"/>
      <c r="M40" s="58"/>
      <c r="N40" s="58"/>
      <c r="O40" s="58"/>
      <c r="P40" s="58"/>
      <c r="Q40" s="58"/>
      <c r="R40" s="58"/>
      <c r="S40" s="58"/>
      <c r="T40" s="58"/>
      <c r="U40" s="58"/>
      <c r="V40" s="58"/>
      <c r="W40" s="58"/>
      <c r="X40" s="58"/>
      <c r="Y40" s="58"/>
      <c r="Z40" s="58"/>
      <c r="AA40" s="206">
        <f ca="1">'8'!F16</f>
        <v>0</v>
      </c>
    </row>
    <row r="41" spans="1:27">
      <c r="B41" s="51" t="s">
        <v>323</v>
      </c>
      <c r="C41" s="274"/>
      <c r="D41" s="453"/>
      <c r="E41" s="273"/>
      <c r="F41" s="109"/>
      <c r="G41" s="109"/>
      <c r="H41" s="109"/>
      <c r="I41" s="59"/>
      <c r="J41" s="59"/>
      <c r="K41" s="59"/>
      <c r="L41" s="59"/>
      <c r="M41" s="59"/>
      <c r="N41" s="59"/>
      <c r="O41" s="59"/>
      <c r="P41" s="59"/>
      <c r="Q41" s="59"/>
      <c r="R41" s="59"/>
      <c r="S41" s="59"/>
      <c r="T41" s="59"/>
      <c r="U41" s="59"/>
      <c r="V41" s="59"/>
      <c r="W41" s="59"/>
      <c r="X41" s="59"/>
      <c r="Y41" s="59"/>
      <c r="Z41" s="59"/>
      <c r="AA41" s="59"/>
    </row>
    <row r="42" spans="1:27" ht="25.5">
      <c r="B42" s="55" t="s">
        <v>105</v>
      </c>
      <c r="C42" s="457" t="s">
        <v>196</v>
      </c>
      <c r="D42" s="281"/>
      <c r="E42" s="281"/>
      <c r="F42" s="240">
        <f t="shared" ref="F42:AA42" si="13">F44+(F51*F52)</f>
        <v>0</v>
      </c>
      <c r="G42" s="240">
        <f t="shared" si="13"/>
        <v>0</v>
      </c>
      <c r="H42" s="240">
        <f t="shared" si="13"/>
        <v>0</v>
      </c>
      <c r="I42" s="240">
        <f t="shared" si="13"/>
        <v>0</v>
      </c>
      <c r="J42" s="240">
        <f t="shared" si="13"/>
        <v>0</v>
      </c>
      <c r="K42" s="240">
        <f t="shared" si="13"/>
        <v>0</v>
      </c>
      <c r="L42" s="240">
        <f t="shared" si="13"/>
        <v>0</v>
      </c>
      <c r="M42" s="240">
        <f t="shared" si="13"/>
        <v>0</v>
      </c>
      <c r="N42" s="240">
        <f t="shared" si="13"/>
        <v>0</v>
      </c>
      <c r="O42" s="240">
        <f t="shared" si="13"/>
        <v>0</v>
      </c>
      <c r="P42" s="240">
        <f t="shared" si="13"/>
        <v>0</v>
      </c>
      <c r="Q42" s="240">
        <f t="shared" si="13"/>
        <v>0</v>
      </c>
      <c r="R42" s="240">
        <f t="shared" si="13"/>
        <v>0</v>
      </c>
      <c r="S42" s="240">
        <f t="shared" si="13"/>
        <v>0</v>
      </c>
      <c r="T42" s="240">
        <f t="shared" si="13"/>
        <v>0</v>
      </c>
      <c r="U42" s="240">
        <f t="shared" si="13"/>
        <v>0</v>
      </c>
      <c r="V42" s="240">
        <f t="shared" si="13"/>
        <v>0</v>
      </c>
      <c r="W42" s="240">
        <f t="shared" si="13"/>
        <v>0</v>
      </c>
      <c r="X42" s="240">
        <f t="shared" si="13"/>
        <v>0</v>
      </c>
      <c r="Y42" s="240">
        <f t="shared" si="13"/>
        <v>0</v>
      </c>
      <c r="Z42" s="240">
        <f t="shared" si="13"/>
        <v>0</v>
      </c>
      <c r="AA42" s="240">
        <f t="shared" si="13"/>
        <v>0</v>
      </c>
    </row>
    <row r="43" spans="1:27">
      <c r="B43" s="51" t="s">
        <v>311</v>
      </c>
      <c r="C43" s="456"/>
      <c r="D43" s="327"/>
      <c r="E43" s="327"/>
      <c r="F43" s="246"/>
      <c r="G43" s="239"/>
      <c r="H43" s="239"/>
      <c r="I43" s="239"/>
      <c r="J43" s="239"/>
      <c r="K43" s="239"/>
      <c r="L43" s="239"/>
      <c r="M43" s="239"/>
      <c r="N43" s="239"/>
      <c r="O43" s="239"/>
      <c r="P43" s="239"/>
      <c r="Q43" s="239"/>
      <c r="R43" s="239"/>
      <c r="S43" s="239"/>
      <c r="T43" s="239"/>
      <c r="U43" s="239"/>
      <c r="V43" s="239"/>
      <c r="W43" s="239"/>
      <c r="X43" s="239"/>
      <c r="Y43" s="239"/>
      <c r="Z43" s="239"/>
      <c r="AA43" s="239"/>
    </row>
    <row r="44" spans="1:27" ht="38.25">
      <c r="B44" s="55" t="s">
        <v>107</v>
      </c>
      <c r="C44" s="457"/>
      <c r="D44" s="451" t="s">
        <v>199</v>
      </c>
      <c r="E44" s="451"/>
      <c r="F44" s="240">
        <f t="shared" ref="F44:Z44" si="14">MAX(0, F46*F50)</f>
        <v>0</v>
      </c>
      <c r="G44" s="240">
        <f t="shared" si="14"/>
        <v>0</v>
      </c>
      <c r="H44" s="240">
        <f t="shared" si="14"/>
        <v>0</v>
      </c>
      <c r="I44" s="240">
        <f t="shared" si="14"/>
        <v>0</v>
      </c>
      <c r="J44" s="240">
        <f t="shared" si="14"/>
        <v>0</v>
      </c>
      <c r="K44" s="240">
        <f t="shared" si="14"/>
        <v>0</v>
      </c>
      <c r="L44" s="240">
        <f t="shared" si="14"/>
        <v>0</v>
      </c>
      <c r="M44" s="240">
        <f t="shared" si="14"/>
        <v>0</v>
      </c>
      <c r="N44" s="240">
        <f t="shared" si="14"/>
        <v>0</v>
      </c>
      <c r="O44" s="240">
        <f t="shared" si="14"/>
        <v>0</v>
      </c>
      <c r="P44" s="240">
        <f t="shared" si="14"/>
        <v>0</v>
      </c>
      <c r="Q44" s="240">
        <f t="shared" si="14"/>
        <v>0</v>
      </c>
      <c r="R44" s="240">
        <f t="shared" si="14"/>
        <v>0</v>
      </c>
      <c r="S44" s="240">
        <f t="shared" si="14"/>
        <v>0</v>
      </c>
      <c r="T44" s="240">
        <f t="shared" si="14"/>
        <v>0</v>
      </c>
      <c r="U44" s="240">
        <f t="shared" si="14"/>
        <v>0</v>
      </c>
      <c r="V44" s="240">
        <f t="shared" si="14"/>
        <v>0</v>
      </c>
      <c r="W44" s="240">
        <f t="shared" si="14"/>
        <v>0</v>
      </c>
      <c r="X44" s="240">
        <f t="shared" si="14"/>
        <v>0</v>
      </c>
      <c r="Y44" s="240">
        <f t="shared" si="14"/>
        <v>0</v>
      </c>
      <c r="Z44" s="240">
        <f t="shared" si="14"/>
        <v>0</v>
      </c>
      <c r="AA44" s="241"/>
    </row>
    <row r="45" spans="1:27">
      <c r="B45" s="65" t="s">
        <v>289</v>
      </c>
      <c r="C45" s="456"/>
      <c r="D45" s="327"/>
      <c r="E45" s="327"/>
      <c r="F45" s="246"/>
      <c r="G45" s="239"/>
      <c r="H45" s="239"/>
      <c r="I45" s="239"/>
      <c r="J45" s="239"/>
      <c r="K45" s="239"/>
      <c r="L45" s="239"/>
      <c r="M45" s="239"/>
      <c r="N45" s="239"/>
      <c r="O45" s="239"/>
      <c r="P45" s="239"/>
      <c r="Q45" s="239"/>
      <c r="R45" s="239"/>
      <c r="S45" s="239"/>
      <c r="T45" s="239"/>
      <c r="U45" s="239"/>
      <c r="V45" s="239"/>
      <c r="W45" s="239"/>
      <c r="X45" s="239"/>
      <c r="Y45" s="239"/>
      <c r="Z45" s="239"/>
      <c r="AA45" s="239"/>
    </row>
    <row r="46" spans="1:27" ht="38.25">
      <c r="B46" s="489" t="s">
        <v>326</v>
      </c>
      <c r="C46" s="457"/>
      <c r="D46" s="451"/>
      <c r="E46" s="451" t="s">
        <v>317</v>
      </c>
      <c r="F46" s="240">
        <f>F12/F49*F48</f>
        <v>0</v>
      </c>
      <c r="G46" s="240">
        <f t="shared" ref="G46:Z46" si="15">G12/G49*G48</f>
        <v>0</v>
      </c>
      <c r="H46" s="240">
        <f t="shared" si="15"/>
        <v>0</v>
      </c>
      <c r="I46" s="240">
        <f t="shared" si="15"/>
        <v>0</v>
      </c>
      <c r="J46" s="240">
        <f t="shared" si="15"/>
        <v>0</v>
      </c>
      <c r="K46" s="240">
        <f t="shared" si="15"/>
        <v>0</v>
      </c>
      <c r="L46" s="240">
        <f t="shared" si="15"/>
        <v>0</v>
      </c>
      <c r="M46" s="240">
        <f t="shared" si="15"/>
        <v>0</v>
      </c>
      <c r="N46" s="240">
        <f t="shared" si="15"/>
        <v>0</v>
      </c>
      <c r="O46" s="240">
        <f t="shared" si="15"/>
        <v>0</v>
      </c>
      <c r="P46" s="240">
        <f t="shared" si="15"/>
        <v>0</v>
      </c>
      <c r="Q46" s="240">
        <f t="shared" si="15"/>
        <v>0</v>
      </c>
      <c r="R46" s="240">
        <f t="shared" si="15"/>
        <v>0</v>
      </c>
      <c r="S46" s="240">
        <f t="shared" si="15"/>
        <v>0</v>
      </c>
      <c r="T46" s="240">
        <f t="shared" si="15"/>
        <v>0</v>
      </c>
      <c r="U46" s="240">
        <f t="shared" si="15"/>
        <v>0</v>
      </c>
      <c r="V46" s="240">
        <f t="shared" si="15"/>
        <v>0</v>
      </c>
      <c r="W46" s="240">
        <f t="shared" si="15"/>
        <v>0</v>
      </c>
      <c r="X46" s="240">
        <f t="shared" si="15"/>
        <v>0</v>
      </c>
      <c r="Y46" s="240">
        <f t="shared" si="15"/>
        <v>0</v>
      </c>
      <c r="Z46" s="240">
        <f t="shared" si="15"/>
        <v>0</v>
      </c>
      <c r="AA46" s="241"/>
    </row>
    <row r="47" spans="1:27">
      <c r="B47" s="473" t="s">
        <v>319</v>
      </c>
      <c r="C47" s="274"/>
      <c r="D47" s="273"/>
      <c r="E47" s="273"/>
      <c r="F47" s="52"/>
      <c r="G47" s="59"/>
      <c r="H47" s="59"/>
      <c r="I47" s="59"/>
      <c r="J47" s="59"/>
      <c r="K47" s="59"/>
      <c r="L47" s="59"/>
      <c r="M47" s="59"/>
      <c r="N47" s="59"/>
      <c r="O47" s="59"/>
      <c r="P47" s="59"/>
      <c r="Q47" s="59"/>
      <c r="R47" s="59"/>
      <c r="S47" s="59"/>
      <c r="T47" s="59"/>
      <c r="U47" s="59"/>
      <c r="V47" s="59"/>
      <c r="W47" s="59"/>
      <c r="X47" s="59"/>
      <c r="Y47" s="59"/>
      <c r="Z47" s="59"/>
      <c r="AA47" s="59"/>
    </row>
    <row r="48" spans="1:27">
      <c r="B48" s="391" t="s">
        <v>63</v>
      </c>
      <c r="C48" s="460"/>
      <c r="D48" s="451"/>
      <c r="E48" s="451" t="s">
        <v>38</v>
      </c>
      <c r="F48" s="205">
        <f>'1'!$E$47</f>
        <v>0.31</v>
      </c>
      <c r="G48" s="205">
        <f>'1'!$E$47</f>
        <v>0.31</v>
      </c>
      <c r="H48" s="205">
        <f>'1'!$E$47</f>
        <v>0.31</v>
      </c>
      <c r="I48" s="205">
        <f>'1'!$E$47</f>
        <v>0.31</v>
      </c>
      <c r="J48" s="205">
        <f>'1'!$E$47</f>
        <v>0.31</v>
      </c>
      <c r="K48" s="205">
        <f>'1'!$E$47</f>
        <v>0.31</v>
      </c>
      <c r="L48" s="205">
        <f>'1'!$E$47</f>
        <v>0.31</v>
      </c>
      <c r="M48" s="205">
        <f>'1'!$E$47</f>
        <v>0.31</v>
      </c>
      <c r="N48" s="205">
        <f>'1'!$E$47</f>
        <v>0.31</v>
      </c>
      <c r="O48" s="205">
        <f>'1'!$E$47</f>
        <v>0.31</v>
      </c>
      <c r="P48" s="205">
        <f>'1'!$E$47</f>
        <v>0.31</v>
      </c>
      <c r="Q48" s="205">
        <f>'1'!$E$47</f>
        <v>0.31</v>
      </c>
      <c r="R48" s="205">
        <f>'1'!$E$47</f>
        <v>0.31</v>
      </c>
      <c r="S48" s="205">
        <f>'1'!$E$47</f>
        <v>0.31</v>
      </c>
      <c r="T48" s="205">
        <f>'1'!$E$47</f>
        <v>0.31</v>
      </c>
      <c r="U48" s="205">
        <f>'1'!$E$47</f>
        <v>0.31</v>
      </c>
      <c r="V48" s="205">
        <f>'1'!$E$47</f>
        <v>0.31</v>
      </c>
      <c r="W48" s="205">
        <f>'1'!$E$47</f>
        <v>0.31</v>
      </c>
      <c r="X48" s="205">
        <f>'1'!$E$47</f>
        <v>0.31</v>
      </c>
      <c r="Y48" s="205">
        <f>'1'!$E$47</f>
        <v>0.31</v>
      </c>
      <c r="Z48" s="205">
        <f>'1'!$E$47</f>
        <v>0.31</v>
      </c>
      <c r="AA48" s="103"/>
    </row>
    <row r="49" spans="1:27">
      <c r="B49" s="487" t="s">
        <v>320</v>
      </c>
      <c r="C49" s="458"/>
      <c r="D49" s="451"/>
      <c r="E49" s="451" t="s">
        <v>62</v>
      </c>
      <c r="F49" s="203">
        <f>'1'!$E$48</f>
        <v>200</v>
      </c>
      <c r="G49" s="203">
        <f>'1'!$E$48</f>
        <v>200</v>
      </c>
      <c r="H49" s="203">
        <f>'1'!$E$48</f>
        <v>200</v>
      </c>
      <c r="I49" s="203">
        <f>'1'!$E$48</f>
        <v>200</v>
      </c>
      <c r="J49" s="203">
        <f>'1'!$E$48</f>
        <v>200</v>
      </c>
      <c r="K49" s="203">
        <f>'1'!$E$48</f>
        <v>200</v>
      </c>
      <c r="L49" s="203">
        <f>'1'!$E$48</f>
        <v>200</v>
      </c>
      <c r="M49" s="203">
        <f>'1'!$E$48</f>
        <v>200</v>
      </c>
      <c r="N49" s="203">
        <f>'1'!$E$48</f>
        <v>200</v>
      </c>
      <c r="O49" s="203">
        <f>'1'!$E$48</f>
        <v>200</v>
      </c>
      <c r="P49" s="203">
        <f>'1'!$E$48</f>
        <v>200</v>
      </c>
      <c r="Q49" s="203">
        <f>'1'!$E$48</f>
        <v>200</v>
      </c>
      <c r="R49" s="203">
        <f>'1'!$E$48</f>
        <v>200</v>
      </c>
      <c r="S49" s="203">
        <f>'1'!$E$48</f>
        <v>200</v>
      </c>
      <c r="T49" s="203">
        <f>'1'!$E$48</f>
        <v>200</v>
      </c>
      <c r="U49" s="203">
        <f>'1'!$E$48</f>
        <v>200</v>
      </c>
      <c r="V49" s="203">
        <f>'1'!$E$48</f>
        <v>200</v>
      </c>
      <c r="W49" s="203">
        <f>'1'!$E$48</f>
        <v>200</v>
      </c>
      <c r="X49" s="203">
        <f>'1'!$E$48</f>
        <v>200</v>
      </c>
      <c r="Y49" s="203">
        <f>'1'!$E$48</f>
        <v>200</v>
      </c>
      <c r="Z49" s="203">
        <f>'1'!$E$48</f>
        <v>200</v>
      </c>
      <c r="AA49" s="95"/>
    </row>
    <row r="50" spans="1:27" ht="25.5">
      <c r="B50" s="488" t="s">
        <v>327</v>
      </c>
      <c r="C50" s="458"/>
      <c r="D50" s="453"/>
      <c r="E50" s="453" t="s">
        <v>204</v>
      </c>
      <c r="F50" s="206">
        <f>'1'!D24/1000</f>
        <v>0</v>
      </c>
      <c r="G50" s="206">
        <f>'1'!E24/1000</f>
        <v>0</v>
      </c>
      <c r="H50" s="206">
        <f>'1'!F24/1000</f>
        <v>0</v>
      </c>
      <c r="I50" s="206">
        <f>'1'!G24/1000</f>
        <v>0</v>
      </c>
      <c r="J50" s="206">
        <f>'1'!H24/1000</f>
        <v>0</v>
      </c>
      <c r="K50" s="206">
        <f>'1'!I24/1000</f>
        <v>0</v>
      </c>
      <c r="L50" s="206">
        <f>'1'!J24/1000</f>
        <v>0</v>
      </c>
      <c r="M50" s="206">
        <f>'1'!K24/1000</f>
        <v>0</v>
      </c>
      <c r="N50" s="206">
        <f>'1'!L24/1000</f>
        <v>0</v>
      </c>
      <c r="O50" s="206">
        <f>'1'!M24/1000</f>
        <v>0</v>
      </c>
      <c r="P50" s="206">
        <f>'1'!N24/1000</f>
        <v>0</v>
      </c>
      <c r="Q50" s="206">
        <f>'1'!O24/1000</f>
        <v>0</v>
      </c>
      <c r="R50" s="206">
        <f>'1'!P24/1000</f>
        <v>0</v>
      </c>
      <c r="S50" s="206">
        <f>'1'!Q24/1000</f>
        <v>0</v>
      </c>
      <c r="T50" s="206">
        <f>'1'!R24/1000</f>
        <v>0</v>
      </c>
      <c r="U50" s="206">
        <f>'1'!S24/1000</f>
        <v>0</v>
      </c>
      <c r="V50" s="206">
        <f>'1'!T24/1000</f>
        <v>0</v>
      </c>
      <c r="W50" s="206">
        <f>'1'!U24/1000</f>
        <v>0</v>
      </c>
      <c r="X50" s="206">
        <f>'1'!V24/1000</f>
        <v>0</v>
      </c>
      <c r="Y50" s="206">
        <f>'1'!W24/1000</f>
        <v>0</v>
      </c>
      <c r="Z50" s="206">
        <f>'1'!X24/1000</f>
        <v>0</v>
      </c>
      <c r="AA50" s="109"/>
    </row>
    <row r="51" spans="1:27" ht="25.5">
      <c r="B51" s="60" t="s">
        <v>79</v>
      </c>
      <c r="C51" s="458"/>
      <c r="D51" s="452" t="s">
        <v>206</v>
      </c>
      <c r="E51" s="452"/>
      <c r="F51" s="242">
        <f>'1'!D25</f>
        <v>0</v>
      </c>
      <c r="G51" s="242">
        <f>'1'!E25</f>
        <v>0</v>
      </c>
      <c r="H51" s="242">
        <f>'1'!F25</f>
        <v>0</v>
      </c>
      <c r="I51" s="242">
        <f>'1'!G25</f>
        <v>0</v>
      </c>
      <c r="J51" s="242">
        <f>'1'!H25</f>
        <v>0</v>
      </c>
      <c r="K51" s="242">
        <f>'1'!I25</f>
        <v>0</v>
      </c>
      <c r="L51" s="242">
        <f>'1'!J25</f>
        <v>0</v>
      </c>
      <c r="M51" s="242">
        <f>'1'!K25</f>
        <v>0</v>
      </c>
      <c r="N51" s="242">
        <f>'1'!L25</f>
        <v>0</v>
      </c>
      <c r="O51" s="242">
        <f>'1'!M25</f>
        <v>0</v>
      </c>
      <c r="P51" s="242">
        <f>'1'!N25</f>
        <v>0</v>
      </c>
      <c r="Q51" s="242">
        <f>'1'!O25</f>
        <v>0</v>
      </c>
      <c r="R51" s="242">
        <f>'1'!P25</f>
        <v>0</v>
      </c>
      <c r="S51" s="242">
        <f>'1'!Q25</f>
        <v>0</v>
      </c>
      <c r="T51" s="242">
        <f>'1'!R25</f>
        <v>0</v>
      </c>
      <c r="U51" s="242">
        <f>'1'!S25</f>
        <v>0</v>
      </c>
      <c r="V51" s="242">
        <f>'1'!T25</f>
        <v>0</v>
      </c>
      <c r="W51" s="242">
        <f>'1'!U25</f>
        <v>0</v>
      </c>
      <c r="X51" s="242">
        <f>'1'!V25</f>
        <v>0</v>
      </c>
      <c r="Y51" s="242">
        <f>'1'!W25</f>
        <v>0</v>
      </c>
      <c r="Z51" s="242">
        <f>'1'!X25</f>
        <v>0</v>
      </c>
      <c r="AA51" s="104"/>
    </row>
    <row r="52" spans="1:27" ht="14.25">
      <c r="B52" s="60" t="s">
        <v>103</v>
      </c>
      <c r="C52" s="458" t="s">
        <v>195</v>
      </c>
      <c r="D52" s="438"/>
      <c r="E52" s="438"/>
      <c r="F52" s="242">
        <f>F18</f>
        <v>1</v>
      </c>
      <c r="G52" s="242">
        <f t="shared" ref="G52:Z52" si="16">G18</f>
        <v>1</v>
      </c>
      <c r="H52" s="242">
        <f t="shared" si="16"/>
        <v>1</v>
      </c>
      <c r="I52" s="242">
        <f t="shared" si="16"/>
        <v>1</v>
      </c>
      <c r="J52" s="242">
        <f t="shared" si="16"/>
        <v>1</v>
      </c>
      <c r="K52" s="242">
        <f t="shared" si="16"/>
        <v>1</v>
      </c>
      <c r="L52" s="242">
        <f t="shared" si="16"/>
        <v>1</v>
      </c>
      <c r="M52" s="242">
        <f t="shared" si="16"/>
        <v>1</v>
      </c>
      <c r="N52" s="242">
        <f t="shared" si="16"/>
        <v>1</v>
      </c>
      <c r="O52" s="242">
        <f t="shared" si="16"/>
        <v>1</v>
      </c>
      <c r="P52" s="242">
        <f t="shared" si="16"/>
        <v>1</v>
      </c>
      <c r="Q52" s="242">
        <f t="shared" si="16"/>
        <v>1</v>
      </c>
      <c r="R52" s="242">
        <f t="shared" si="16"/>
        <v>1</v>
      </c>
      <c r="S52" s="242">
        <f t="shared" si="16"/>
        <v>1</v>
      </c>
      <c r="T52" s="242">
        <f t="shared" si="16"/>
        <v>1</v>
      </c>
      <c r="U52" s="242">
        <f t="shared" si="16"/>
        <v>1</v>
      </c>
      <c r="V52" s="242">
        <f t="shared" si="16"/>
        <v>1</v>
      </c>
      <c r="W52" s="242">
        <f t="shared" si="16"/>
        <v>1</v>
      </c>
      <c r="X52" s="242">
        <f t="shared" si="16"/>
        <v>1</v>
      </c>
      <c r="Y52" s="242">
        <f t="shared" si="16"/>
        <v>1</v>
      </c>
      <c r="Z52" s="242">
        <f t="shared" si="16"/>
        <v>1</v>
      </c>
      <c r="AA52" s="97"/>
    </row>
    <row r="53" spans="1:27">
      <c r="B53" s="69"/>
      <c r="C53" s="455"/>
      <c r="D53" s="318"/>
      <c r="E53" s="318"/>
      <c r="F53" s="64"/>
      <c r="G53" s="64"/>
      <c r="H53" s="64"/>
      <c r="I53" s="64"/>
      <c r="J53" s="64"/>
      <c r="K53" s="64"/>
      <c r="L53" s="64"/>
      <c r="M53" s="64"/>
      <c r="N53" s="64"/>
      <c r="O53" s="64"/>
      <c r="P53" s="64"/>
      <c r="Q53" s="64"/>
      <c r="R53" s="64"/>
      <c r="S53" s="64"/>
      <c r="T53" s="64"/>
      <c r="U53" s="64"/>
      <c r="V53" s="64"/>
      <c r="W53" s="64"/>
      <c r="X53" s="64"/>
      <c r="Y53" s="64"/>
      <c r="Z53" s="64"/>
      <c r="AA53" s="64"/>
    </row>
    <row r="54" spans="1:27" s="46" customFormat="1" ht="25.5">
      <c r="A54" s="28"/>
      <c r="B54" s="49" t="s">
        <v>168</v>
      </c>
      <c r="C54" s="454" t="s">
        <v>209</v>
      </c>
      <c r="D54" s="462"/>
      <c r="E54" s="462"/>
      <c r="F54" s="237"/>
      <c r="G54" s="237">
        <f>(F56-F57)*(1+(F58+(F60*F59)))</f>
        <v>0</v>
      </c>
      <c r="H54" s="237">
        <f t="shared" ref="H54:Y54" si="17">(G56-G57)*(1+(G58+(G60*G59)))</f>
        <v>0</v>
      </c>
      <c r="I54" s="237">
        <f t="shared" si="17"/>
        <v>0</v>
      </c>
      <c r="J54" s="237">
        <f t="shared" si="17"/>
        <v>0</v>
      </c>
      <c r="K54" s="237">
        <f t="shared" si="17"/>
        <v>0</v>
      </c>
      <c r="L54" s="237">
        <f t="shared" si="17"/>
        <v>0</v>
      </c>
      <c r="M54" s="237">
        <f t="shared" si="17"/>
        <v>0</v>
      </c>
      <c r="N54" s="237">
        <f t="shared" si="17"/>
        <v>0</v>
      </c>
      <c r="O54" s="237">
        <f t="shared" si="17"/>
        <v>0</v>
      </c>
      <c r="P54" s="237">
        <f t="shared" si="17"/>
        <v>0</v>
      </c>
      <c r="Q54" s="237">
        <f t="shared" si="17"/>
        <v>0</v>
      </c>
      <c r="R54" s="237">
        <f t="shared" si="17"/>
        <v>0</v>
      </c>
      <c r="S54" s="237">
        <f t="shared" si="17"/>
        <v>0</v>
      </c>
      <c r="T54" s="237">
        <f t="shared" si="17"/>
        <v>0</v>
      </c>
      <c r="U54" s="237">
        <f t="shared" si="17"/>
        <v>0</v>
      </c>
      <c r="V54" s="237">
        <f t="shared" ca="1" si="17"/>
        <v>0</v>
      </c>
      <c r="W54" s="237">
        <f t="shared" ca="1" si="17"/>
        <v>0</v>
      </c>
      <c r="X54" s="237">
        <f t="shared" ca="1" si="17"/>
        <v>0</v>
      </c>
      <c r="Y54" s="237">
        <f t="shared" ca="1" si="17"/>
        <v>0</v>
      </c>
      <c r="Z54" s="237">
        <f t="shared" ref="Z54" ca="1" si="18">(Y56-Y57)*(1+(Y58+(Y60*Y59)))</f>
        <v>0</v>
      </c>
      <c r="AA54" s="237">
        <f t="shared" ref="AA54" ca="1" si="19">(Z56-Z57)*(1+(Z58+(Z60*Z59)))</f>
        <v>0</v>
      </c>
    </row>
    <row r="55" spans="1:27" ht="14.25">
      <c r="B55" s="65" t="s">
        <v>211</v>
      </c>
      <c r="C55" s="456"/>
      <c r="D55" s="327"/>
      <c r="E55" s="327"/>
      <c r="F55" s="247"/>
      <c r="G55" s="248"/>
      <c r="H55" s="248"/>
      <c r="I55" s="248"/>
      <c r="J55" s="248"/>
      <c r="K55" s="248"/>
      <c r="L55" s="248"/>
      <c r="M55" s="248"/>
      <c r="N55" s="248"/>
      <c r="O55" s="248"/>
      <c r="P55" s="248"/>
      <c r="Q55" s="248"/>
      <c r="R55" s="248"/>
      <c r="S55" s="248"/>
      <c r="T55" s="248"/>
      <c r="U55" s="248"/>
      <c r="V55" s="248"/>
      <c r="W55" s="248"/>
      <c r="X55" s="248"/>
      <c r="Y55" s="248"/>
      <c r="Z55" s="248"/>
      <c r="AA55" s="248"/>
    </row>
    <row r="56" spans="1:27" ht="25.5">
      <c r="B56" s="55" t="s">
        <v>80</v>
      </c>
      <c r="C56" s="457" t="s">
        <v>213</v>
      </c>
      <c r="D56" s="281"/>
      <c r="E56" s="281"/>
      <c r="F56" s="245">
        <f>'1'!D11</f>
        <v>0</v>
      </c>
      <c r="G56" s="245">
        <f>'1'!E11</f>
        <v>0</v>
      </c>
      <c r="H56" s="245">
        <f>'1'!F11</f>
        <v>0</v>
      </c>
      <c r="I56" s="245">
        <f>'1'!G11</f>
        <v>0</v>
      </c>
      <c r="J56" s="245">
        <f>'1'!H11</f>
        <v>0</v>
      </c>
      <c r="K56" s="245">
        <f>'1'!I11</f>
        <v>0</v>
      </c>
      <c r="L56" s="245">
        <f>'1'!J11</f>
        <v>0</v>
      </c>
      <c r="M56" s="245">
        <f>'1'!K11</f>
        <v>0</v>
      </c>
      <c r="N56" s="245">
        <f>'1'!L11</f>
        <v>0</v>
      </c>
      <c r="O56" s="245">
        <f>'1'!M11</f>
        <v>0</v>
      </c>
      <c r="P56" s="245">
        <f>'1'!N11</f>
        <v>0</v>
      </c>
      <c r="Q56" s="245">
        <f>'1'!O11</f>
        <v>0</v>
      </c>
      <c r="R56" s="245">
        <f>'1'!P11</f>
        <v>0</v>
      </c>
      <c r="S56" s="245">
        <f>'1'!Q11</f>
        <v>0</v>
      </c>
      <c r="T56" s="245">
        <f>'1'!R11</f>
        <v>0</v>
      </c>
      <c r="U56" s="245">
        <f>'1'!S11</f>
        <v>0</v>
      </c>
      <c r="V56" s="245">
        <f>'1'!T11</f>
        <v>0</v>
      </c>
      <c r="W56" s="245">
        <f>'1'!U11</f>
        <v>0</v>
      </c>
      <c r="X56" s="245">
        <f>'1'!V11</f>
        <v>0</v>
      </c>
      <c r="Y56" s="245">
        <f>'1'!W11</f>
        <v>0</v>
      </c>
      <c r="Z56" s="245">
        <f>'1'!X11</f>
        <v>0</v>
      </c>
      <c r="AA56" s="249"/>
    </row>
    <row r="57" spans="1:27" ht="25.5">
      <c r="B57" s="55" t="s">
        <v>64</v>
      </c>
      <c r="C57" s="457" t="s">
        <v>214</v>
      </c>
      <c r="D57" s="281"/>
      <c r="E57" s="281"/>
      <c r="F57" s="240">
        <f>F10</f>
        <v>0</v>
      </c>
      <c r="G57" s="240">
        <f t="shared" ref="G57:Y57" si="20">G10</f>
        <v>0</v>
      </c>
      <c r="H57" s="240">
        <f t="shared" si="20"/>
        <v>0</v>
      </c>
      <c r="I57" s="240">
        <f t="shared" si="20"/>
        <v>0</v>
      </c>
      <c r="J57" s="240">
        <f t="shared" si="20"/>
        <v>0</v>
      </c>
      <c r="K57" s="240">
        <f t="shared" si="20"/>
        <v>0</v>
      </c>
      <c r="L57" s="240">
        <f t="shared" si="20"/>
        <v>0</v>
      </c>
      <c r="M57" s="240">
        <f t="shared" si="20"/>
        <v>0</v>
      </c>
      <c r="N57" s="240">
        <f t="shared" si="20"/>
        <v>0</v>
      </c>
      <c r="O57" s="240">
        <f t="shared" si="20"/>
        <v>0</v>
      </c>
      <c r="P57" s="240">
        <f t="shared" si="20"/>
        <v>0</v>
      </c>
      <c r="Q57" s="240">
        <f t="shared" si="20"/>
        <v>0</v>
      </c>
      <c r="R57" s="240">
        <f t="shared" si="20"/>
        <v>0</v>
      </c>
      <c r="S57" s="240">
        <f t="shared" si="20"/>
        <v>0</v>
      </c>
      <c r="T57" s="240">
        <f t="shared" si="20"/>
        <v>0</v>
      </c>
      <c r="U57" s="240">
        <f t="shared" ca="1" si="20"/>
        <v>0</v>
      </c>
      <c r="V57" s="240">
        <f t="shared" ca="1" si="20"/>
        <v>0</v>
      </c>
      <c r="W57" s="240">
        <f t="shared" ca="1" si="20"/>
        <v>0</v>
      </c>
      <c r="X57" s="240">
        <f t="shared" ca="1" si="20"/>
        <v>0</v>
      </c>
      <c r="Y57" s="240">
        <f t="shared" ca="1" si="20"/>
        <v>0</v>
      </c>
      <c r="Z57" s="240">
        <f t="shared" ref="Z57" ca="1" si="21">Z10</f>
        <v>0</v>
      </c>
      <c r="AA57" s="241"/>
    </row>
    <row r="58" spans="1:27" ht="14.25">
      <c r="B58" s="55" t="s">
        <v>108</v>
      </c>
      <c r="C58" s="457" t="s">
        <v>215</v>
      </c>
      <c r="D58" s="281"/>
      <c r="E58" s="281"/>
      <c r="F58" s="250">
        <f>'1'!D27</f>
        <v>5.0000000000000001E-3</v>
      </c>
      <c r="G58" s="250">
        <f>'1'!E27</f>
        <v>5.0000000000000001E-3</v>
      </c>
      <c r="H58" s="250">
        <f>'1'!F27</f>
        <v>5.0000000000000001E-3</v>
      </c>
      <c r="I58" s="250">
        <f>'1'!G27</f>
        <v>5.0000000000000001E-3</v>
      </c>
      <c r="J58" s="250">
        <f>'1'!H27</f>
        <v>5.0000000000000001E-3</v>
      </c>
      <c r="K58" s="250">
        <f>'1'!I27</f>
        <v>5.0000000000000001E-3</v>
      </c>
      <c r="L58" s="250">
        <f>'1'!J27</f>
        <v>5.0000000000000001E-3</v>
      </c>
      <c r="M58" s="250">
        <f>'1'!K27</f>
        <v>5.0000000000000001E-3</v>
      </c>
      <c r="N58" s="250">
        <f>'1'!L27</f>
        <v>5.0000000000000001E-3</v>
      </c>
      <c r="O58" s="250">
        <f>'1'!M27</f>
        <v>5.0000000000000001E-3</v>
      </c>
      <c r="P58" s="250">
        <f>'1'!N27</f>
        <v>5.0000000000000001E-3</v>
      </c>
      <c r="Q58" s="250">
        <f>'1'!O27</f>
        <v>5.0000000000000001E-3</v>
      </c>
      <c r="R58" s="250">
        <f>'1'!P27</f>
        <v>5.0000000000000001E-3</v>
      </c>
      <c r="S58" s="250">
        <f>'1'!Q27</f>
        <v>5.0000000000000001E-3</v>
      </c>
      <c r="T58" s="250">
        <f>'1'!R27</f>
        <v>5.0000000000000001E-3</v>
      </c>
      <c r="U58" s="250">
        <f>'1'!S27</f>
        <v>5.0000000000000001E-3</v>
      </c>
      <c r="V58" s="250">
        <f>'1'!T27</f>
        <v>5.0000000000000001E-3</v>
      </c>
      <c r="W58" s="250">
        <f>'1'!U27</f>
        <v>5.0000000000000001E-3</v>
      </c>
      <c r="X58" s="250">
        <f>'1'!V27</f>
        <v>5.0000000000000001E-3</v>
      </c>
      <c r="Y58" s="250">
        <f>'1'!W27</f>
        <v>5.0000000000000001E-3</v>
      </c>
      <c r="Z58" s="250">
        <f>'1'!X27</f>
        <v>5.0000000000000001E-3</v>
      </c>
      <c r="AA58" s="110"/>
    </row>
    <row r="59" spans="1:27" ht="25.5">
      <c r="B59" s="54" t="s">
        <v>111</v>
      </c>
      <c r="C59" s="457" t="s">
        <v>126</v>
      </c>
      <c r="D59" s="281"/>
      <c r="E59" s="281"/>
      <c r="F59" s="251">
        <f>IF(F56&gt;F57*(1+'1'!$E$46),1,0)</f>
        <v>0</v>
      </c>
      <c r="G59" s="251">
        <f>IF(G56&gt;G57*(1+'1'!$E$46),1,0)</f>
        <v>0</v>
      </c>
      <c r="H59" s="251">
        <f>IF(H56&gt;H57*(1+'1'!$E$46),1,0)</f>
        <v>0</v>
      </c>
      <c r="I59" s="251">
        <f>IF(I56&gt;I57*(1+'1'!$E$46),1,0)</f>
        <v>0</v>
      </c>
      <c r="J59" s="251">
        <f>IF(J56&gt;J57*(1+'1'!$E$46),1,0)</f>
        <v>0</v>
      </c>
      <c r="K59" s="251">
        <f>IF(K56&gt;K57*(1+'1'!$E$46),1,0)</f>
        <v>0</v>
      </c>
      <c r="L59" s="251">
        <f>IF(L56&gt;L57*(1+'1'!$E$46),1,0)</f>
        <v>0</v>
      </c>
      <c r="M59" s="251">
        <f>IF(M56&gt;M57*(1+'1'!$E$46),1,0)</f>
        <v>0</v>
      </c>
      <c r="N59" s="251">
        <f>IF(N56&gt;N57*(1+'1'!$E$46),1,0)</f>
        <v>0</v>
      </c>
      <c r="O59" s="251">
        <f>IF(O56&gt;O57*(1+'1'!$E$46),1,0)</f>
        <v>0</v>
      </c>
      <c r="P59" s="251">
        <f>IF(P56&gt;P57*(1+'1'!$E$46),1,0)</f>
        <v>0</v>
      </c>
      <c r="Q59" s="251">
        <f>IF(Q56&gt;Q57*(1+'1'!$E$46),1,0)</f>
        <v>0</v>
      </c>
      <c r="R59" s="251">
        <f>IF(R56&gt;R57*(1+'1'!$E$46),1,0)</f>
        <v>0</v>
      </c>
      <c r="S59" s="251">
        <f>IF(S56&gt;S57*(1+'1'!$E$46),1,0)</f>
        <v>0</v>
      </c>
      <c r="T59" s="251">
        <f>IF(T56&gt;T57*(1+'1'!$E$46),1,0)</f>
        <v>0</v>
      </c>
      <c r="U59" s="251">
        <f ca="1">IF(U56&gt;U57*(1+'1'!$E$46),1,0)</f>
        <v>0</v>
      </c>
      <c r="V59" s="251">
        <f ca="1">IF(V56&gt;V57*(1+'1'!$E$46),1,0)</f>
        <v>0</v>
      </c>
      <c r="W59" s="251">
        <f ca="1">IF(W56&gt;W57*(1+'1'!$E$46),1,0)</f>
        <v>0</v>
      </c>
      <c r="X59" s="251">
        <f ca="1">IF(X56&gt;X57*(1+'1'!$E$46),1,0)</f>
        <v>0</v>
      </c>
      <c r="Y59" s="251">
        <f ca="1">IF(Y56&gt;Y57*(1+'1'!$E$46),1,0)</f>
        <v>0</v>
      </c>
      <c r="Z59" s="251">
        <f ca="1">IF(Z56&gt;Z57*(1+'1'!$E$46),1,0)</f>
        <v>0</v>
      </c>
      <c r="AA59" s="111"/>
    </row>
    <row r="60" spans="1:27" ht="14.25">
      <c r="B60" s="60" t="s">
        <v>87</v>
      </c>
      <c r="C60" s="457" t="s">
        <v>216</v>
      </c>
      <c r="D60" s="281"/>
      <c r="E60" s="281"/>
      <c r="F60" s="252">
        <f>'1'!$E$45</f>
        <v>0.04</v>
      </c>
      <c r="G60" s="252">
        <f>'1'!$E$45</f>
        <v>0.04</v>
      </c>
      <c r="H60" s="252">
        <f>'1'!$E$45</f>
        <v>0.04</v>
      </c>
      <c r="I60" s="252">
        <f>'1'!$E$45</f>
        <v>0.04</v>
      </c>
      <c r="J60" s="252">
        <f>'1'!$E$45</f>
        <v>0.04</v>
      </c>
      <c r="K60" s="252">
        <f>'1'!$E$45</f>
        <v>0.04</v>
      </c>
      <c r="L60" s="252">
        <f>'1'!$E$45</f>
        <v>0.04</v>
      </c>
      <c r="M60" s="252">
        <f>'1'!$E$45</f>
        <v>0.04</v>
      </c>
      <c r="N60" s="252">
        <f>'1'!$E$45</f>
        <v>0.04</v>
      </c>
      <c r="O60" s="252">
        <f>'1'!$E$45</f>
        <v>0.04</v>
      </c>
      <c r="P60" s="252">
        <f>'1'!$E$45</f>
        <v>0.04</v>
      </c>
      <c r="Q60" s="252">
        <f>'1'!$E$45</f>
        <v>0.04</v>
      </c>
      <c r="R60" s="252">
        <f>'1'!$E$45</f>
        <v>0.04</v>
      </c>
      <c r="S60" s="252">
        <f>'1'!$E$45</f>
        <v>0.04</v>
      </c>
      <c r="T60" s="252">
        <f>'1'!$E$45</f>
        <v>0.04</v>
      </c>
      <c r="U60" s="252">
        <f>'1'!$E$45</f>
        <v>0.04</v>
      </c>
      <c r="V60" s="252">
        <f>'1'!$E$45</f>
        <v>0.04</v>
      </c>
      <c r="W60" s="252">
        <f>'1'!$E$45</f>
        <v>0.04</v>
      </c>
      <c r="X60" s="252">
        <f>'1'!$E$45</f>
        <v>0.04</v>
      </c>
      <c r="Y60" s="252">
        <f>'1'!$E$45</f>
        <v>0.04</v>
      </c>
      <c r="Z60" s="252">
        <f>'1'!$E$45</f>
        <v>0.04</v>
      </c>
      <c r="AA60" s="112"/>
    </row>
    <row r="61" spans="1:27">
      <c r="B61" s="71"/>
      <c r="C61" s="327"/>
      <c r="D61" s="327"/>
      <c r="E61" s="327"/>
      <c r="F61" s="72"/>
      <c r="G61" s="72"/>
      <c r="H61" s="72"/>
      <c r="I61" s="72"/>
      <c r="J61" s="72"/>
      <c r="K61" s="72"/>
      <c r="L61" s="72"/>
      <c r="M61" s="72"/>
      <c r="N61" s="72"/>
      <c r="O61" s="72"/>
      <c r="P61" s="72"/>
      <c r="Q61" s="72"/>
      <c r="R61" s="72"/>
      <c r="S61" s="72"/>
      <c r="T61" s="72"/>
      <c r="U61" s="72"/>
      <c r="V61" s="72"/>
      <c r="W61" s="72"/>
      <c r="X61" s="72"/>
      <c r="Y61" s="72"/>
      <c r="Z61" s="72"/>
      <c r="AA61" s="72"/>
    </row>
    <row r="62" spans="1:27">
      <c r="B62" s="57" t="s">
        <v>316</v>
      </c>
      <c r="C62" s="456"/>
      <c r="D62" s="465"/>
      <c r="E62" s="465"/>
      <c r="F62" s="253">
        <f>'2a'!D19</f>
        <v>0</v>
      </c>
      <c r="G62" s="253">
        <f>'2a'!E19</f>
        <v>0</v>
      </c>
      <c r="H62" s="253">
        <f>'2a'!F19</f>
        <v>0</v>
      </c>
      <c r="I62" s="253">
        <f>'2a'!G19</f>
        <v>0</v>
      </c>
      <c r="J62" s="253">
        <f>'2a'!H19</f>
        <v>0</v>
      </c>
      <c r="K62" s="253">
        <f>'2a'!I19</f>
        <v>0</v>
      </c>
      <c r="L62" s="253">
        <f>'2a'!J19</f>
        <v>0</v>
      </c>
      <c r="M62" s="253">
        <f>'2a'!K19</f>
        <v>0</v>
      </c>
      <c r="N62" s="253">
        <f>'2a'!L19</f>
        <v>0</v>
      </c>
      <c r="O62" s="253">
        <f>'2a'!M19</f>
        <v>0</v>
      </c>
      <c r="P62" s="253">
        <f>'2a'!N19</f>
        <v>0</v>
      </c>
      <c r="Q62" s="253">
        <f>'2a'!O19</f>
        <v>0</v>
      </c>
      <c r="R62" s="253">
        <f>'2a'!P19</f>
        <v>0</v>
      </c>
      <c r="S62" s="253">
        <f>'2a'!Q19</f>
        <v>0</v>
      </c>
      <c r="T62" s="253">
        <f>'2a'!R19</f>
        <v>0</v>
      </c>
      <c r="U62" s="253">
        <f ca="1">'2a'!S19</f>
        <v>0</v>
      </c>
      <c r="V62" s="253">
        <f ca="1">'2a'!T19</f>
        <v>0</v>
      </c>
      <c r="W62" s="253">
        <f ca="1">'2a'!U19</f>
        <v>0</v>
      </c>
      <c r="X62" s="253">
        <f ca="1">'2a'!V19</f>
        <v>0</v>
      </c>
      <c r="Y62" s="253">
        <f ca="1">'2a'!W19</f>
        <v>0</v>
      </c>
      <c r="Z62" s="253">
        <f ca="1">'2a'!X19</f>
        <v>0</v>
      </c>
      <c r="AA62" s="113"/>
    </row>
    <row r="63" spans="1:27">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row>
    <row r="64" spans="1:27"/>
    <row r="65" spans="3:6" hidden="1"/>
    <row r="66" spans="3:6" hidden="1"/>
    <row r="67" spans="3:6" hidden="1">
      <c r="C67" s="73"/>
      <c r="E67" s="114"/>
      <c r="F67" s="74"/>
    </row>
    <row r="68" spans="3:6" hidden="1">
      <c r="C68" s="73"/>
      <c r="D68" s="75"/>
      <c r="E68" s="114"/>
      <c r="F68" s="75"/>
    </row>
    <row r="69" spans="3:6" hidden="1"/>
    <row r="70" spans="3:6" hidden="1"/>
    <row r="71" spans="3:6" hidden="1"/>
    <row r="72" spans="3:6" hidden="1"/>
    <row r="73" spans="3:6" hidden="1"/>
    <row r="74" spans="3:6" hidden="1"/>
    <row r="75" spans="3:6" hidden="1"/>
    <row r="76" spans="3:6"/>
    <row r="77" spans="3:6"/>
  </sheetData>
  <sheetProtection sheet="1" objects="1" scenarios="1"/>
  <phoneticPr fontId="9" type="noConversion"/>
  <conditionalFormatting sqref="A8 A11">
    <cfRule type="cellIs" dxfId="23" priority="3" operator="equal">
      <formula>"O"</formula>
    </cfRule>
    <cfRule type="cellIs" dxfId="22" priority="4" operator="equal">
      <formula>"P"</formula>
    </cfRule>
  </conditionalFormatting>
  <hyperlinks>
    <hyperlink ref="A5" location="'Sign off'!A1" display="Index"/>
  </hyperlinks>
  <printOptions horizontalCentered="1" headings="1"/>
  <pageMargins left="0" right="0" top="0" bottom="0.39370078740157483" header="0" footer="0"/>
  <pageSetup paperSize="8" scale="55"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sheetPr codeName="Sheet14">
    <pageSetUpPr fitToPage="1"/>
  </sheetPr>
  <dimension ref="A1:J75"/>
  <sheetViews>
    <sheetView zoomScale="90" zoomScaleNormal="90" workbookViewId="0">
      <selection activeCell="I46" sqref="I46"/>
    </sheetView>
  </sheetViews>
  <sheetFormatPr defaultColWidth="0" defaultRowHeight="0" customHeight="1" zeroHeight="1"/>
  <cols>
    <col min="1" max="1" width="20.6640625" style="43" customWidth="1"/>
    <col min="2" max="6" width="12" style="84" customWidth="1"/>
    <col min="7" max="7" width="25.5" style="84" customWidth="1"/>
    <col min="8" max="9" width="21.33203125" style="84" customWidth="1"/>
    <col min="10" max="10" width="15.83203125" style="43" customWidth="1"/>
    <col min="11" max="16384" width="0" style="84" hidden="1"/>
  </cols>
  <sheetData>
    <row r="1" spans="1:10" s="356" customFormat="1" ht="27.75" customHeight="1">
      <c r="D1" s="357" t="s">
        <v>185</v>
      </c>
    </row>
    <row r="2" spans="1:10" s="356" customFormat="1" ht="18" customHeight="1">
      <c r="D2" s="356" t="s">
        <v>169</v>
      </c>
      <c r="E2" s="358" t="str">
        <f>'Universal data'!$D$11</f>
        <v>Demo sands</v>
      </c>
    </row>
    <row r="3" spans="1:10" s="356" customFormat="1" ht="18" customHeight="1">
      <c r="D3" s="356" t="s">
        <v>170</v>
      </c>
      <c r="E3" s="358" t="str">
        <f>'Universal data'!$D$9</f>
        <v>[Offshore transmission operator 1]</v>
      </c>
      <c r="G3" s="360"/>
      <c r="H3" s="360"/>
    </row>
    <row r="4" spans="1:10" s="356" customFormat="1" ht="18" customHeight="1">
      <c r="D4" s="356" t="s">
        <v>171</v>
      </c>
      <c r="E4" s="358" t="str">
        <f>'Universal data'!$D$12-1&amp;"-"&amp;'Universal data'!$D$12-2000</f>
        <v>2012-13</v>
      </c>
      <c r="G4" s="360"/>
      <c r="H4" s="360"/>
    </row>
    <row r="5" spans="1:10" s="43" customFormat="1" ht="12.75">
      <c r="A5" s="26" t="s">
        <v>251</v>
      </c>
    </row>
    <row r="6" spans="1:10" s="43" customFormat="1" ht="18">
      <c r="B6" s="193" t="s">
        <v>240</v>
      </c>
    </row>
    <row r="7" spans="1:10" ht="12.75">
      <c r="A7" s="43" t="s">
        <v>266</v>
      </c>
      <c r="B7" s="43"/>
      <c r="C7" s="43"/>
      <c r="D7" s="43"/>
      <c r="E7" s="43"/>
      <c r="F7" s="43"/>
      <c r="G7" s="43"/>
      <c r="H7" s="43"/>
      <c r="I7" s="43"/>
    </row>
    <row r="8" spans="1:10" ht="12.75">
      <c r="A8" s="379" t="s">
        <v>267</v>
      </c>
      <c r="B8" s="46" t="s">
        <v>55</v>
      </c>
      <c r="C8" s="43"/>
      <c r="D8" s="43"/>
      <c r="E8" s="43"/>
      <c r="F8" s="43"/>
      <c r="G8" s="43"/>
      <c r="H8" s="43"/>
      <c r="I8" s="43"/>
    </row>
    <row r="9" spans="1:10" ht="12.75">
      <c r="A9" s="255"/>
      <c r="B9" s="416"/>
      <c r="C9" s="43"/>
      <c r="D9" s="43"/>
      <c r="E9" s="43"/>
      <c r="F9" s="43"/>
      <c r="G9" s="43"/>
      <c r="H9" s="43"/>
      <c r="I9" s="43"/>
    </row>
    <row r="10" spans="1:10" ht="12.75">
      <c r="A10" s="255" t="s">
        <v>268</v>
      </c>
      <c r="B10" s="43" t="s">
        <v>90</v>
      </c>
      <c r="C10" s="43"/>
      <c r="D10" s="43"/>
      <c r="E10" s="43"/>
      <c r="F10" s="43"/>
      <c r="G10" s="43"/>
      <c r="H10" s="417"/>
      <c r="I10" s="43"/>
    </row>
    <row r="11" spans="1:10" ht="12.75">
      <c r="A11" s="379" t="s">
        <v>269</v>
      </c>
      <c r="B11" s="43"/>
      <c r="C11" s="43"/>
      <c r="D11" s="43"/>
      <c r="E11" s="43"/>
      <c r="F11" s="43"/>
      <c r="G11" s="43"/>
      <c r="H11" s="418"/>
      <c r="I11" s="75"/>
      <c r="J11" s="75"/>
    </row>
    <row r="12" spans="1:10" ht="12.75">
      <c r="A12" s="414"/>
      <c r="B12" s="43"/>
      <c r="C12" s="43"/>
      <c r="D12" s="43"/>
      <c r="E12" s="43"/>
      <c r="F12" s="43"/>
      <c r="G12" s="43"/>
      <c r="H12" s="419" t="str">
        <f>'Universal data'!$D$12-1&amp;"-"&amp;'Universal data'!$D$12-2000</f>
        <v>2012-13</v>
      </c>
      <c r="I12" s="419" t="str">
        <f>'Universal data'!$D$12-2&amp;"-"&amp;'Universal data'!$D$12-2000-1</f>
        <v>2011-12</v>
      </c>
    </row>
    <row r="13" spans="1:10" ht="12.75">
      <c r="A13" s="415" t="b">
        <v>0</v>
      </c>
      <c r="B13" s="43"/>
      <c r="C13" s="46" t="s">
        <v>56</v>
      </c>
      <c r="D13" s="43"/>
      <c r="E13" s="43"/>
      <c r="F13" s="43"/>
      <c r="G13" s="43"/>
      <c r="H13" s="44" t="s">
        <v>57</v>
      </c>
      <c r="I13" s="44" t="s">
        <v>57</v>
      </c>
    </row>
    <row r="14" spans="1:10" ht="12.75">
      <c r="A14" s="424"/>
      <c r="B14" s="44">
        <v>1</v>
      </c>
      <c r="C14" s="544"/>
      <c r="D14" s="544"/>
      <c r="E14" s="544"/>
      <c r="F14" s="544"/>
      <c r="G14" s="544"/>
      <c r="H14" s="254"/>
      <c r="I14" s="254"/>
    </row>
    <row r="15" spans="1:10" ht="12.75">
      <c r="B15" s="44">
        <v>2</v>
      </c>
      <c r="C15" s="544"/>
      <c r="D15" s="544"/>
      <c r="E15" s="544"/>
      <c r="F15" s="544"/>
      <c r="G15" s="544"/>
      <c r="H15" s="254"/>
      <c r="I15" s="254"/>
    </row>
    <row r="16" spans="1:10" ht="12.75">
      <c r="A16" s="420"/>
      <c r="B16" s="44">
        <v>3</v>
      </c>
      <c r="C16" s="544"/>
      <c r="D16" s="544"/>
      <c r="E16" s="544"/>
      <c r="F16" s="544"/>
      <c r="G16" s="544"/>
      <c r="H16" s="254"/>
      <c r="I16" s="254"/>
    </row>
    <row r="17" spans="2:9" ht="12.75">
      <c r="B17" s="44">
        <v>4</v>
      </c>
      <c r="C17" s="544"/>
      <c r="D17" s="544"/>
      <c r="E17" s="544"/>
      <c r="F17" s="544"/>
      <c r="G17" s="544"/>
      <c r="H17" s="254"/>
      <c r="I17" s="254"/>
    </row>
    <row r="18" spans="2:9" ht="12.75">
      <c r="B18" s="44">
        <v>5</v>
      </c>
      <c r="C18" s="544"/>
      <c r="D18" s="544"/>
      <c r="E18" s="544"/>
      <c r="F18" s="544"/>
      <c r="G18" s="544"/>
      <c r="H18" s="254"/>
      <c r="I18" s="254"/>
    </row>
    <row r="19" spans="2:9" ht="12.75">
      <c r="B19" s="44">
        <v>6</v>
      </c>
      <c r="C19" s="544"/>
      <c r="D19" s="544"/>
      <c r="E19" s="544"/>
      <c r="F19" s="544"/>
      <c r="G19" s="544"/>
      <c r="H19" s="254"/>
      <c r="I19" s="254"/>
    </row>
    <row r="20" spans="2:9" ht="12.75">
      <c r="B20" s="44">
        <v>7</v>
      </c>
      <c r="C20" s="544"/>
      <c r="D20" s="544"/>
      <c r="E20" s="544"/>
      <c r="F20" s="544"/>
      <c r="G20" s="544"/>
      <c r="H20" s="254"/>
      <c r="I20" s="254"/>
    </row>
    <row r="21" spans="2:9" ht="12.75">
      <c r="B21" s="44">
        <v>8</v>
      </c>
      <c r="C21" s="544"/>
      <c r="D21" s="544"/>
      <c r="E21" s="544"/>
      <c r="F21" s="544"/>
      <c r="G21" s="544"/>
      <c r="H21" s="254"/>
      <c r="I21" s="254"/>
    </row>
    <row r="22" spans="2:9" ht="12.75">
      <c r="B22" s="44">
        <v>9</v>
      </c>
      <c r="C22" s="544"/>
      <c r="D22" s="544"/>
      <c r="E22" s="544"/>
      <c r="F22" s="544"/>
      <c r="G22" s="544"/>
      <c r="H22" s="254"/>
      <c r="I22" s="254"/>
    </row>
    <row r="23" spans="2:9" ht="12.75">
      <c r="B23" s="44">
        <v>10</v>
      </c>
      <c r="C23" s="544"/>
      <c r="D23" s="544"/>
      <c r="E23" s="544"/>
      <c r="F23" s="544"/>
      <c r="G23" s="544"/>
      <c r="H23" s="254"/>
      <c r="I23" s="254"/>
    </row>
    <row r="24" spans="2:9" ht="12.75">
      <c r="B24" s="44">
        <v>11</v>
      </c>
      <c r="C24" s="544"/>
      <c r="D24" s="544"/>
      <c r="E24" s="544"/>
      <c r="F24" s="544"/>
      <c r="G24" s="544"/>
      <c r="H24" s="254"/>
      <c r="I24" s="254"/>
    </row>
    <row r="25" spans="2:9" ht="12.75">
      <c r="B25" s="44">
        <v>12</v>
      </c>
      <c r="C25" s="544"/>
      <c r="D25" s="544"/>
      <c r="E25" s="544"/>
      <c r="F25" s="544"/>
      <c r="G25" s="544"/>
      <c r="H25" s="254"/>
      <c r="I25" s="254"/>
    </row>
    <row r="26" spans="2:9" ht="12.75">
      <c r="B26" s="44">
        <v>13</v>
      </c>
      <c r="C26" s="544"/>
      <c r="D26" s="544"/>
      <c r="E26" s="544"/>
      <c r="F26" s="544"/>
      <c r="G26" s="544"/>
      <c r="H26" s="254"/>
      <c r="I26" s="254"/>
    </row>
    <row r="27" spans="2:9" ht="12.75">
      <c r="B27" s="44">
        <v>14</v>
      </c>
      <c r="C27" s="544"/>
      <c r="D27" s="544"/>
      <c r="E27" s="544"/>
      <c r="F27" s="544"/>
      <c r="G27" s="544"/>
      <c r="H27" s="254"/>
      <c r="I27" s="254"/>
    </row>
    <row r="28" spans="2:9" ht="12.75">
      <c r="B28" s="44">
        <v>15</v>
      </c>
      <c r="C28" s="544"/>
      <c r="D28" s="544"/>
      <c r="E28" s="544"/>
      <c r="F28" s="544"/>
      <c r="G28" s="544"/>
      <c r="H28" s="254"/>
      <c r="I28" s="254"/>
    </row>
    <row r="29" spans="2:9" ht="12.75">
      <c r="B29" s="44"/>
      <c r="C29" s="382"/>
      <c r="D29" s="382"/>
      <c r="E29" s="382"/>
      <c r="F29" s="382"/>
      <c r="G29" s="382"/>
      <c r="H29" s="421"/>
      <c r="I29" s="421"/>
    </row>
    <row r="30" spans="2:9" ht="12.75">
      <c r="B30" s="43"/>
      <c r="C30" s="43"/>
      <c r="D30" s="43"/>
      <c r="E30" s="43"/>
      <c r="F30" s="43"/>
      <c r="G30" s="43" t="s">
        <v>58</v>
      </c>
      <c r="H30" s="422">
        <f>SUM(H14:H28)</f>
        <v>0</v>
      </c>
      <c r="I30" s="422">
        <f>SUM(I14:I28)</f>
        <v>0</v>
      </c>
    </row>
    <row r="31" spans="2:9" ht="12.75">
      <c r="B31" s="43"/>
      <c r="C31" s="43"/>
      <c r="D31" s="43"/>
      <c r="E31" s="43"/>
      <c r="F31" s="43"/>
      <c r="G31" s="43"/>
      <c r="H31" s="43"/>
      <c r="I31" s="43"/>
    </row>
    <row r="32" spans="2:9" ht="12.75">
      <c r="B32" s="46" t="s">
        <v>59</v>
      </c>
      <c r="C32" s="43"/>
      <c r="D32" s="43"/>
      <c r="E32" s="43"/>
      <c r="F32" s="43"/>
      <c r="G32" s="43"/>
      <c r="H32" s="43"/>
      <c r="I32" s="43"/>
    </row>
    <row r="33" spans="2:9" ht="12.75">
      <c r="B33" s="43"/>
      <c r="C33" s="43"/>
      <c r="D33" s="43"/>
      <c r="E33" s="43"/>
      <c r="F33" s="43"/>
      <c r="G33" s="43"/>
      <c r="H33" s="43"/>
      <c r="I33" s="43"/>
    </row>
    <row r="34" spans="2:9" ht="12.75">
      <c r="B34" s="43" t="s">
        <v>89</v>
      </c>
      <c r="C34" s="43"/>
      <c r="D34" s="43"/>
      <c r="E34" s="43"/>
      <c r="F34" s="43"/>
      <c r="G34" s="43"/>
      <c r="H34" s="43"/>
      <c r="I34" s="43"/>
    </row>
    <row r="35" spans="2:9" ht="12.75">
      <c r="B35" s="43"/>
      <c r="C35" s="43"/>
      <c r="D35" s="43"/>
      <c r="E35" s="43"/>
      <c r="F35" s="43"/>
      <c r="G35" s="43"/>
      <c r="H35" s="43"/>
      <c r="I35" s="43"/>
    </row>
    <row r="36" spans="2:9" ht="12.75">
      <c r="B36" s="43"/>
      <c r="C36" s="43"/>
      <c r="D36" s="43"/>
      <c r="E36" s="43"/>
      <c r="F36" s="43"/>
      <c r="G36" s="43"/>
      <c r="H36" s="419" t="str">
        <f>'Universal data'!$D$12-1&amp;"-"&amp;'Universal data'!$D$12-2000</f>
        <v>2012-13</v>
      </c>
      <c r="I36" s="419" t="str">
        <f>'Universal data'!$D$12-2&amp;"-"&amp;'Universal data'!$D$12-2000-1</f>
        <v>2011-12</v>
      </c>
    </row>
    <row r="37" spans="2:9" ht="12.75">
      <c r="B37" s="43"/>
      <c r="C37" s="46" t="s">
        <v>56</v>
      </c>
      <c r="D37" s="43"/>
      <c r="E37" s="43"/>
      <c r="F37" s="43"/>
      <c r="G37" s="43"/>
      <c r="H37" s="44" t="s">
        <v>57</v>
      </c>
      <c r="I37" s="44" t="s">
        <v>57</v>
      </c>
    </row>
    <row r="38" spans="2:9" ht="12.75">
      <c r="B38" s="44">
        <v>1</v>
      </c>
      <c r="C38" s="544"/>
      <c r="D38" s="544"/>
      <c r="E38" s="544"/>
      <c r="F38" s="544"/>
      <c r="G38" s="544"/>
      <c r="H38" s="254"/>
      <c r="I38" s="254"/>
    </row>
    <row r="39" spans="2:9" ht="12.75">
      <c r="B39" s="44">
        <v>2</v>
      </c>
      <c r="C39" s="544"/>
      <c r="D39" s="544"/>
      <c r="E39" s="544"/>
      <c r="F39" s="544"/>
      <c r="G39" s="544"/>
      <c r="H39" s="254"/>
      <c r="I39" s="254"/>
    </row>
    <row r="40" spans="2:9" ht="12.75">
      <c r="B40" s="44">
        <v>3</v>
      </c>
      <c r="C40" s="544"/>
      <c r="D40" s="544"/>
      <c r="E40" s="544"/>
      <c r="F40" s="544"/>
      <c r="G40" s="544"/>
      <c r="H40" s="254"/>
      <c r="I40" s="254"/>
    </row>
    <row r="41" spans="2:9" ht="12.75">
      <c r="B41" s="44">
        <v>4</v>
      </c>
      <c r="C41" s="544"/>
      <c r="D41" s="544"/>
      <c r="E41" s="544"/>
      <c r="F41" s="544"/>
      <c r="G41" s="544"/>
      <c r="H41" s="254"/>
      <c r="I41" s="254"/>
    </row>
    <row r="42" spans="2:9" ht="12.75">
      <c r="B42" s="44">
        <v>5</v>
      </c>
      <c r="C42" s="544"/>
      <c r="D42" s="544"/>
      <c r="E42" s="544"/>
      <c r="F42" s="544"/>
      <c r="G42" s="544"/>
      <c r="H42" s="254"/>
      <c r="I42" s="254"/>
    </row>
    <row r="43" spans="2:9" ht="12.75">
      <c r="B43" s="44">
        <v>6</v>
      </c>
      <c r="C43" s="544"/>
      <c r="D43" s="544"/>
      <c r="E43" s="544"/>
      <c r="F43" s="544"/>
      <c r="G43" s="544"/>
      <c r="H43" s="254"/>
      <c r="I43" s="254"/>
    </row>
    <row r="44" spans="2:9" ht="12.75">
      <c r="B44" s="44">
        <v>7</v>
      </c>
      <c r="C44" s="544"/>
      <c r="D44" s="544"/>
      <c r="E44" s="544"/>
      <c r="F44" s="544"/>
      <c r="G44" s="544"/>
      <c r="H44" s="254"/>
      <c r="I44" s="254"/>
    </row>
    <row r="45" spans="2:9" ht="12.75">
      <c r="B45" s="44">
        <v>8</v>
      </c>
      <c r="C45" s="544"/>
      <c r="D45" s="544"/>
      <c r="E45" s="544"/>
      <c r="F45" s="544"/>
      <c r="G45" s="544"/>
      <c r="H45" s="254"/>
      <c r="I45" s="254"/>
    </row>
    <row r="46" spans="2:9" ht="12.75">
      <c r="B46" s="44">
        <v>9</v>
      </c>
      <c r="C46" s="544"/>
      <c r="D46" s="544"/>
      <c r="E46" s="544"/>
      <c r="F46" s="544"/>
      <c r="G46" s="544"/>
      <c r="H46" s="254"/>
      <c r="I46" s="254"/>
    </row>
    <row r="47" spans="2:9" ht="12.75">
      <c r="B47" s="44">
        <v>10</v>
      </c>
      <c r="C47" s="544"/>
      <c r="D47" s="544"/>
      <c r="E47" s="544"/>
      <c r="F47" s="544"/>
      <c r="G47" s="544"/>
      <c r="H47" s="254"/>
      <c r="I47" s="254"/>
    </row>
    <row r="48" spans="2:9" ht="12.75">
      <c r="B48" s="44">
        <v>11</v>
      </c>
      <c r="C48" s="544"/>
      <c r="D48" s="544"/>
      <c r="E48" s="544"/>
      <c r="F48" s="544"/>
      <c r="G48" s="544"/>
      <c r="H48" s="254"/>
      <c r="I48" s="254"/>
    </row>
    <row r="49" spans="2:9" ht="12.75">
      <c r="B49" s="44">
        <v>12</v>
      </c>
      <c r="C49" s="544"/>
      <c r="D49" s="544"/>
      <c r="E49" s="544"/>
      <c r="F49" s="544"/>
      <c r="G49" s="544"/>
      <c r="H49" s="254"/>
      <c r="I49" s="254"/>
    </row>
    <row r="50" spans="2:9" ht="12.75">
      <c r="B50" s="44">
        <v>13</v>
      </c>
      <c r="C50" s="544"/>
      <c r="D50" s="544"/>
      <c r="E50" s="544"/>
      <c r="F50" s="544"/>
      <c r="G50" s="544"/>
      <c r="H50" s="254"/>
      <c r="I50" s="254"/>
    </row>
    <row r="51" spans="2:9" ht="12.75">
      <c r="B51" s="44">
        <v>14</v>
      </c>
      <c r="C51" s="544"/>
      <c r="D51" s="544"/>
      <c r="E51" s="544"/>
      <c r="F51" s="544"/>
      <c r="G51" s="544"/>
      <c r="H51" s="254"/>
      <c r="I51" s="254"/>
    </row>
    <row r="52" spans="2:9" ht="12.75">
      <c r="B52" s="44">
        <v>15</v>
      </c>
      <c r="C52" s="544"/>
      <c r="D52" s="544"/>
      <c r="E52" s="544"/>
      <c r="F52" s="544"/>
      <c r="G52" s="544"/>
      <c r="H52" s="254"/>
      <c r="I52" s="254"/>
    </row>
    <row r="53" spans="2:9" ht="12.75">
      <c r="B53" s="43"/>
      <c r="C53" s="43"/>
      <c r="D53" s="43"/>
      <c r="E53" s="43"/>
      <c r="F53" s="43"/>
      <c r="G53" s="43"/>
      <c r="H53" s="423"/>
      <c r="I53" s="423"/>
    </row>
    <row r="54" spans="2:9" ht="12.75">
      <c r="B54" s="43"/>
      <c r="C54" s="43"/>
      <c r="D54" s="43"/>
      <c r="E54" s="43"/>
      <c r="F54" s="43"/>
      <c r="G54" s="43" t="s">
        <v>58</v>
      </c>
      <c r="H54" s="422">
        <f>SUM(H38:H52)</f>
        <v>0</v>
      </c>
      <c r="I54" s="422">
        <f>SUM(I38:I52)</f>
        <v>0</v>
      </c>
    </row>
    <row r="55" spans="2:9" ht="12.75">
      <c r="B55" s="43"/>
      <c r="C55" s="43"/>
      <c r="D55" s="43"/>
      <c r="E55" s="43"/>
      <c r="F55" s="43"/>
      <c r="G55" s="43"/>
      <c r="H55" s="43"/>
      <c r="I55" s="43"/>
    </row>
    <row r="56" spans="2:9" ht="0" hidden="1" customHeight="1"/>
    <row r="57" spans="2:9" ht="0" hidden="1" customHeight="1"/>
    <row r="58" spans="2:9" ht="0" hidden="1" customHeight="1"/>
    <row r="59" spans="2:9" ht="0" hidden="1" customHeight="1"/>
    <row r="60" spans="2:9" ht="0" hidden="1" customHeight="1"/>
    <row r="61" spans="2:9" ht="0" hidden="1" customHeight="1"/>
    <row r="62" spans="2:9" ht="0" hidden="1" customHeight="1"/>
    <row r="63" spans="2:9" ht="0" hidden="1" customHeight="1"/>
    <row r="64" spans="2:9" ht="0" hidden="1" customHeight="1"/>
    <row r="65" ht="0" hidden="1" customHeight="1"/>
    <row r="66" ht="0" hidden="1" customHeight="1"/>
    <row r="67" ht="0" hidden="1" customHeight="1"/>
    <row r="68" ht="0" hidden="1" customHeight="1"/>
    <row r="69" ht="0" hidden="1" customHeight="1"/>
    <row r="70" ht="0" hidden="1" customHeight="1"/>
    <row r="71" ht="0" hidden="1" customHeight="1"/>
    <row r="72" ht="0" hidden="1" customHeight="1"/>
    <row r="73" ht="0" hidden="1" customHeight="1"/>
    <row r="74" ht="0" hidden="1" customHeight="1"/>
    <row r="75" ht="0" hidden="1" customHeight="1"/>
  </sheetData>
  <mergeCells count="30">
    <mergeCell ref="C19:G19"/>
    <mergeCell ref="C14:G14"/>
    <mergeCell ref="C15:G15"/>
    <mergeCell ref="C16:G16"/>
    <mergeCell ref="C17:G17"/>
    <mergeCell ref="C18:G18"/>
    <mergeCell ref="C51:G51"/>
    <mergeCell ref="C52:G52"/>
    <mergeCell ref="C41:G41"/>
    <mergeCell ref="C42:G42"/>
    <mergeCell ref="C43:G43"/>
    <mergeCell ref="C44:G44"/>
    <mergeCell ref="C45:G45"/>
    <mergeCell ref="C46:G46"/>
    <mergeCell ref="C47:G47"/>
    <mergeCell ref="C48:G48"/>
    <mergeCell ref="C49:G49"/>
    <mergeCell ref="C50:G50"/>
    <mergeCell ref="C40:G40"/>
    <mergeCell ref="C20:G20"/>
    <mergeCell ref="C21:G21"/>
    <mergeCell ref="C22:G22"/>
    <mergeCell ref="C23:G23"/>
    <mergeCell ref="C24:G24"/>
    <mergeCell ref="C26:G26"/>
    <mergeCell ref="C27:G27"/>
    <mergeCell ref="C28:G28"/>
    <mergeCell ref="C38:G38"/>
    <mergeCell ref="C39:G39"/>
    <mergeCell ref="C25:G25"/>
  </mergeCells>
  <conditionalFormatting sqref="A8 A11">
    <cfRule type="cellIs" dxfId="21" priority="3" operator="equal">
      <formula>"O"</formula>
    </cfRule>
    <cfRule type="cellIs" dxfId="20" priority="4" operator="equal">
      <formula>"P"</formula>
    </cfRule>
  </conditionalFormatting>
  <hyperlinks>
    <hyperlink ref="A5" location="'Sign off'!A1" display="Index"/>
  </hyperlinks>
  <printOptions horizontalCentered="1"/>
  <pageMargins left="0" right="0" top="0" bottom="0.35433070866141736" header="0" footer="0"/>
  <pageSetup paperSize="8" orientation="landscape" r:id="rId1"/>
  <headerFooter>
    <oddFooter>&amp;L&amp;Z&amp;F&amp;A&amp;C&amp;P&amp;R&amp;D</oddFooter>
  </headerFooter>
  <drawing r:id="rId2"/>
  <legacyDrawing r:id="rId3"/>
</worksheet>
</file>

<file path=xl/worksheets/sheet13.xml><?xml version="1.0" encoding="utf-8"?>
<worksheet xmlns="http://schemas.openxmlformats.org/spreadsheetml/2006/main" xmlns:r="http://schemas.openxmlformats.org/officeDocument/2006/relationships">
  <sheetPr codeName="Sheet15">
    <pageSetUpPr fitToPage="1"/>
  </sheetPr>
  <dimension ref="A1:WVU75"/>
  <sheetViews>
    <sheetView zoomScaleNormal="100" zoomScaleSheetLayoutView="95" workbookViewId="0">
      <selection activeCell="L28" sqref="L28"/>
    </sheetView>
  </sheetViews>
  <sheetFormatPr defaultColWidth="0" defaultRowHeight="0" customHeight="1" zeroHeight="1"/>
  <cols>
    <col min="1" max="1" width="20.6640625" style="43" customWidth="1"/>
    <col min="2" max="13" width="12" style="43" customWidth="1"/>
    <col min="14" max="257" width="9.33203125" style="43" hidden="1" customWidth="1"/>
    <col min="258" max="269" width="12" style="43" hidden="1" customWidth="1"/>
    <col min="270" max="513" width="0" style="43" hidden="1"/>
    <col min="514" max="525" width="12" style="43" hidden="1" customWidth="1"/>
    <col min="526" max="769" width="0" style="43" hidden="1"/>
    <col min="770" max="781" width="12" style="43" hidden="1" customWidth="1"/>
    <col min="782" max="1025" width="0" style="43" hidden="1"/>
    <col min="1026" max="1037" width="12" style="43" hidden="1" customWidth="1"/>
    <col min="1038" max="1281" width="0" style="43" hidden="1"/>
    <col min="1282" max="1293" width="12" style="43" hidden="1" customWidth="1"/>
    <col min="1294" max="1537" width="0" style="43" hidden="1"/>
    <col min="1538" max="1549" width="12" style="43" hidden="1" customWidth="1"/>
    <col min="1550" max="1793" width="0" style="43" hidden="1"/>
    <col min="1794" max="1805" width="12" style="43" hidden="1" customWidth="1"/>
    <col min="1806" max="2049" width="0" style="43" hidden="1"/>
    <col min="2050" max="2061" width="12" style="43" hidden="1" customWidth="1"/>
    <col min="2062" max="2305" width="0" style="43" hidden="1"/>
    <col min="2306" max="2317" width="12" style="43" hidden="1" customWidth="1"/>
    <col min="2318" max="2561" width="0" style="43" hidden="1"/>
    <col min="2562" max="2573" width="12" style="43" hidden="1" customWidth="1"/>
    <col min="2574" max="2817" width="0" style="43" hidden="1"/>
    <col min="2818" max="2829" width="12" style="43" hidden="1" customWidth="1"/>
    <col min="2830" max="3073" width="0" style="43" hidden="1"/>
    <col min="3074" max="3085" width="12" style="43" hidden="1" customWidth="1"/>
    <col min="3086" max="3329" width="0" style="43" hidden="1"/>
    <col min="3330" max="3341" width="12" style="43" hidden="1" customWidth="1"/>
    <col min="3342" max="3585" width="0" style="43" hidden="1"/>
    <col min="3586" max="3597" width="12" style="43" hidden="1" customWidth="1"/>
    <col min="3598" max="3841" width="0" style="43" hidden="1"/>
    <col min="3842" max="3853" width="12" style="43" hidden="1" customWidth="1"/>
    <col min="3854" max="4097" width="0" style="43" hidden="1"/>
    <col min="4098" max="4109" width="12" style="43" hidden="1" customWidth="1"/>
    <col min="4110" max="4353" width="0" style="43" hidden="1"/>
    <col min="4354" max="4365" width="12" style="43" hidden="1" customWidth="1"/>
    <col min="4366" max="4609" width="0" style="43" hidden="1"/>
    <col min="4610" max="4621" width="12" style="43" hidden="1" customWidth="1"/>
    <col min="4622" max="4865" width="0" style="43" hidden="1"/>
    <col min="4866" max="4877" width="12" style="43" hidden="1" customWidth="1"/>
    <col min="4878" max="5121" width="0" style="43" hidden="1"/>
    <col min="5122" max="5133" width="12" style="43" hidden="1" customWidth="1"/>
    <col min="5134" max="5377" width="0" style="43" hidden="1"/>
    <col min="5378" max="5389" width="12" style="43" hidden="1" customWidth="1"/>
    <col min="5390" max="5633" width="0" style="43" hidden="1"/>
    <col min="5634" max="5645" width="12" style="43" hidden="1" customWidth="1"/>
    <col min="5646" max="5889" width="0" style="43" hidden="1"/>
    <col min="5890" max="5901" width="12" style="43" hidden="1" customWidth="1"/>
    <col min="5902" max="6145" width="0" style="43" hidden="1"/>
    <col min="6146" max="6157" width="12" style="43" hidden="1" customWidth="1"/>
    <col min="6158" max="6401" width="0" style="43" hidden="1"/>
    <col min="6402" max="6413" width="12" style="43" hidden="1" customWidth="1"/>
    <col min="6414" max="6657" width="0" style="43" hidden="1"/>
    <col min="6658" max="6669" width="12" style="43" hidden="1" customWidth="1"/>
    <col min="6670" max="6913" width="0" style="43" hidden="1"/>
    <col min="6914" max="6925" width="12" style="43" hidden="1" customWidth="1"/>
    <col min="6926" max="7169" width="0" style="43" hidden="1"/>
    <col min="7170" max="7181" width="12" style="43" hidden="1" customWidth="1"/>
    <col min="7182" max="7425" width="0" style="43" hidden="1"/>
    <col min="7426" max="7437" width="12" style="43" hidden="1" customWidth="1"/>
    <col min="7438" max="7681" width="0" style="43" hidden="1"/>
    <col min="7682" max="7693" width="12" style="43" hidden="1" customWidth="1"/>
    <col min="7694" max="7937" width="0" style="43" hidden="1"/>
    <col min="7938" max="7949" width="12" style="43" hidden="1" customWidth="1"/>
    <col min="7950" max="8193" width="0" style="43" hidden="1"/>
    <col min="8194" max="8205" width="12" style="43" hidden="1" customWidth="1"/>
    <col min="8206" max="8449" width="0" style="43" hidden="1"/>
    <col min="8450" max="8461" width="12" style="43" hidden="1" customWidth="1"/>
    <col min="8462" max="8705" width="0" style="43" hidden="1"/>
    <col min="8706" max="8717" width="12" style="43" hidden="1" customWidth="1"/>
    <col min="8718" max="8961" width="0" style="43" hidden="1"/>
    <col min="8962" max="8973" width="12" style="43" hidden="1" customWidth="1"/>
    <col min="8974" max="9217" width="0" style="43" hidden="1"/>
    <col min="9218" max="9229" width="12" style="43" hidden="1" customWidth="1"/>
    <col min="9230" max="9473" width="0" style="43" hidden="1"/>
    <col min="9474" max="9485" width="12" style="43" hidden="1" customWidth="1"/>
    <col min="9486" max="9729" width="0" style="43" hidden="1"/>
    <col min="9730" max="9741" width="12" style="43" hidden="1" customWidth="1"/>
    <col min="9742" max="9985" width="0" style="43" hidden="1"/>
    <col min="9986" max="9997" width="12" style="43" hidden="1" customWidth="1"/>
    <col min="9998" max="10241" width="0" style="43" hidden="1"/>
    <col min="10242" max="10253" width="12" style="43" hidden="1" customWidth="1"/>
    <col min="10254" max="10497" width="0" style="43" hidden="1"/>
    <col min="10498" max="10509" width="12" style="43" hidden="1" customWidth="1"/>
    <col min="10510" max="10753" width="0" style="43" hidden="1"/>
    <col min="10754" max="10765" width="12" style="43" hidden="1" customWidth="1"/>
    <col min="10766" max="11009" width="0" style="43" hidden="1"/>
    <col min="11010" max="11021" width="12" style="43" hidden="1" customWidth="1"/>
    <col min="11022" max="11265" width="0" style="43" hidden="1"/>
    <col min="11266" max="11277" width="12" style="43" hidden="1" customWidth="1"/>
    <col min="11278" max="11521" width="0" style="43" hidden="1"/>
    <col min="11522" max="11533" width="12" style="43" hidden="1" customWidth="1"/>
    <col min="11534" max="11777" width="0" style="43" hidden="1"/>
    <col min="11778" max="11789" width="12" style="43" hidden="1" customWidth="1"/>
    <col min="11790" max="12033" width="0" style="43" hidden="1"/>
    <col min="12034" max="12045" width="12" style="43" hidden="1" customWidth="1"/>
    <col min="12046" max="12289" width="0" style="43" hidden="1"/>
    <col min="12290" max="12301" width="12" style="43" hidden="1" customWidth="1"/>
    <col min="12302" max="12545" width="0" style="43" hidden="1"/>
    <col min="12546" max="12557" width="12" style="43" hidden="1" customWidth="1"/>
    <col min="12558" max="12801" width="0" style="43" hidden="1"/>
    <col min="12802" max="12813" width="12" style="43" hidden="1" customWidth="1"/>
    <col min="12814" max="13057" width="0" style="43" hidden="1"/>
    <col min="13058" max="13069" width="12" style="43" hidden="1" customWidth="1"/>
    <col min="13070" max="13313" width="0" style="43" hidden="1"/>
    <col min="13314" max="13325" width="12" style="43" hidden="1" customWidth="1"/>
    <col min="13326" max="13569" width="0" style="43" hidden="1"/>
    <col min="13570" max="13581" width="12" style="43" hidden="1" customWidth="1"/>
    <col min="13582" max="13825" width="0" style="43" hidden="1"/>
    <col min="13826" max="13837" width="12" style="43" hidden="1" customWidth="1"/>
    <col min="13838" max="14081" width="0" style="43" hidden="1"/>
    <col min="14082" max="14093" width="12" style="43" hidden="1" customWidth="1"/>
    <col min="14094" max="14337" width="0" style="43" hidden="1"/>
    <col min="14338" max="14349" width="12" style="43" hidden="1" customWidth="1"/>
    <col min="14350" max="14593" width="0" style="43" hidden="1"/>
    <col min="14594" max="14605" width="12" style="43" hidden="1" customWidth="1"/>
    <col min="14606" max="14849" width="0" style="43" hidden="1"/>
    <col min="14850" max="14861" width="12" style="43" hidden="1" customWidth="1"/>
    <col min="14862" max="15105" width="0" style="43" hidden="1"/>
    <col min="15106" max="15117" width="12" style="43" hidden="1" customWidth="1"/>
    <col min="15118" max="15361" width="0" style="43" hidden="1"/>
    <col min="15362" max="15373" width="12" style="43" hidden="1" customWidth="1"/>
    <col min="15374" max="15617" width="0" style="43" hidden="1"/>
    <col min="15618" max="15629" width="12" style="43" hidden="1" customWidth="1"/>
    <col min="15630" max="15873" width="0" style="43" hidden="1"/>
    <col min="15874" max="15885" width="12" style="43" hidden="1" customWidth="1"/>
    <col min="15886" max="16129" width="0" style="43" hidden="1"/>
    <col min="16130" max="16141" width="12" style="43" hidden="1" customWidth="1"/>
    <col min="16142" max="16384" width="0" style="84" hidden="1"/>
  </cols>
  <sheetData>
    <row r="1" spans="1:12" s="356" customFormat="1" ht="27.75" customHeight="1">
      <c r="D1" s="357" t="s">
        <v>185</v>
      </c>
    </row>
    <row r="2" spans="1:12" s="356" customFormat="1" ht="18" customHeight="1">
      <c r="D2" s="356" t="s">
        <v>169</v>
      </c>
      <c r="E2" s="358" t="str">
        <f>'Universal data'!$D$11</f>
        <v>Demo sands</v>
      </c>
    </row>
    <row r="3" spans="1:12" s="356" customFormat="1" ht="18" customHeight="1">
      <c r="D3" s="356" t="s">
        <v>170</v>
      </c>
      <c r="E3" s="358" t="str">
        <f>'Universal data'!$D$9</f>
        <v>[Offshore transmission operator 1]</v>
      </c>
      <c r="G3" s="360"/>
      <c r="H3" s="360"/>
      <c r="K3" s="360"/>
    </row>
    <row r="4" spans="1:12" s="356" customFormat="1" ht="18" customHeight="1">
      <c r="D4" s="356" t="s">
        <v>171</v>
      </c>
      <c r="E4" s="358" t="str">
        <f>'Universal data'!$D$12-1&amp;"-"&amp;'Universal data'!$D$12-2000</f>
        <v>2012-13</v>
      </c>
      <c r="G4" s="360"/>
      <c r="H4" s="360"/>
      <c r="K4" s="360"/>
    </row>
    <row r="5" spans="1:12" s="43" customFormat="1" ht="12.75">
      <c r="A5" s="26" t="s">
        <v>251</v>
      </c>
    </row>
    <row r="6" spans="1:12" ht="18">
      <c r="B6" s="193" t="s">
        <v>241</v>
      </c>
    </row>
    <row r="7" spans="1:12" ht="12.75">
      <c r="A7" s="43" t="s">
        <v>266</v>
      </c>
    </row>
    <row r="8" spans="1:12" ht="12.75">
      <c r="A8" s="379" t="s">
        <v>267</v>
      </c>
      <c r="B8" s="76"/>
      <c r="C8" s="76"/>
      <c r="D8" s="76"/>
      <c r="E8" s="76"/>
      <c r="F8" s="76"/>
      <c r="G8" s="77"/>
      <c r="H8" s="76"/>
      <c r="I8" s="76"/>
      <c r="J8" s="78" t="s">
        <v>57</v>
      </c>
      <c r="K8" s="76"/>
      <c r="L8" s="78" t="s">
        <v>57</v>
      </c>
    </row>
    <row r="9" spans="1:12" ht="12.75">
      <c r="A9" s="255"/>
      <c r="B9" s="76"/>
      <c r="C9" s="76"/>
      <c r="D9" s="76"/>
      <c r="E9" s="76"/>
      <c r="F9" s="76"/>
      <c r="G9" s="77"/>
      <c r="H9" s="76"/>
      <c r="I9" s="76"/>
      <c r="J9" s="78"/>
      <c r="K9" s="76"/>
      <c r="L9" s="78"/>
    </row>
    <row r="10" spans="1:12" ht="14.25">
      <c r="A10" s="255" t="s">
        <v>268</v>
      </c>
      <c r="B10" s="76"/>
      <c r="C10" s="79" t="s">
        <v>301</v>
      </c>
      <c r="D10" s="76"/>
      <c r="E10" s="76"/>
      <c r="F10" s="76"/>
      <c r="G10" s="77"/>
      <c r="H10" s="76"/>
      <c r="I10" s="76"/>
      <c r="J10" s="80"/>
      <c r="K10" s="76"/>
      <c r="L10" s="270">
        <f>HLOOKUP('Universal data'!D12,'1'!$D$8:$Y$11,4,FALSE)</f>
        <v>0</v>
      </c>
    </row>
    <row r="11" spans="1:12" ht="12.75">
      <c r="A11" s="379" t="s">
        <v>269</v>
      </c>
      <c r="B11" s="79"/>
      <c r="C11" s="76"/>
      <c r="D11" s="76"/>
      <c r="E11" s="76"/>
      <c r="F11" s="76"/>
      <c r="G11" s="77"/>
      <c r="H11" s="77"/>
      <c r="I11" s="76"/>
      <c r="J11" s="80"/>
      <c r="K11" s="76"/>
      <c r="L11" s="76"/>
    </row>
    <row r="12" spans="1:12" ht="12.75">
      <c r="A12" s="414"/>
      <c r="B12" s="76"/>
      <c r="C12" s="76" t="s">
        <v>118</v>
      </c>
      <c r="D12" s="76"/>
      <c r="E12" s="76"/>
      <c r="F12" s="76"/>
      <c r="G12" s="77"/>
      <c r="H12" s="76"/>
      <c r="I12" s="76"/>
      <c r="J12" s="89"/>
      <c r="K12" s="76"/>
      <c r="L12" s="76"/>
    </row>
    <row r="13" spans="1:12" ht="12.75">
      <c r="A13" s="415" t="b">
        <v>0</v>
      </c>
      <c r="B13" s="76"/>
      <c r="C13" s="76"/>
      <c r="D13" s="76" t="s">
        <v>113</v>
      </c>
      <c r="E13" s="76"/>
      <c r="F13" s="76"/>
      <c r="G13" s="77"/>
      <c r="H13" s="76"/>
      <c r="I13" s="76"/>
      <c r="J13" s="270">
        <f>'3a'!H54</f>
        <v>0</v>
      </c>
      <c r="K13" s="87"/>
      <c r="L13" s="76"/>
    </row>
    <row r="14" spans="1:12" ht="12.75">
      <c r="B14" s="76"/>
      <c r="C14" s="76"/>
      <c r="D14" s="76" t="s">
        <v>117</v>
      </c>
      <c r="E14" s="76"/>
      <c r="F14" s="76"/>
      <c r="G14" s="77"/>
      <c r="H14" s="76"/>
      <c r="I14" s="76"/>
      <c r="J14" s="270">
        <f>'3a'!H30</f>
        <v>0</v>
      </c>
      <c r="K14" s="87"/>
      <c r="L14" s="76"/>
    </row>
    <row r="15" spans="1:12" ht="12.75">
      <c r="B15" s="76"/>
      <c r="C15" s="76"/>
      <c r="D15" s="76"/>
      <c r="E15" s="76"/>
      <c r="F15" s="76"/>
      <c r="G15" s="77"/>
      <c r="H15" s="76"/>
      <c r="I15" s="76"/>
      <c r="J15" s="80"/>
      <c r="K15" s="76"/>
      <c r="L15" s="270">
        <f>SUM(J13:J14)</f>
        <v>0</v>
      </c>
    </row>
    <row r="16" spans="1:12" ht="12.75">
      <c r="A16" s="420"/>
      <c r="B16" s="76"/>
      <c r="C16" s="76"/>
      <c r="D16" s="76"/>
      <c r="E16" s="76"/>
      <c r="F16" s="76"/>
      <c r="G16" s="77"/>
      <c r="H16" s="76"/>
      <c r="I16" s="76"/>
      <c r="J16" s="76"/>
      <c r="K16" s="76"/>
      <c r="L16" s="88"/>
    </row>
    <row r="17" spans="2:12" ht="12.75">
      <c r="B17" s="76"/>
      <c r="C17" s="76" t="s">
        <v>167</v>
      </c>
      <c r="D17" s="76"/>
      <c r="E17" s="76"/>
      <c r="F17" s="76"/>
      <c r="G17" s="77"/>
      <c r="H17" s="76"/>
      <c r="I17" s="76"/>
      <c r="J17" s="76"/>
      <c r="K17" s="76"/>
      <c r="L17" s="76"/>
    </row>
    <row r="18" spans="2:12" ht="12.75">
      <c r="B18" s="76"/>
      <c r="C18" s="76" t="s">
        <v>114</v>
      </c>
      <c r="D18" s="76"/>
      <c r="E18" s="76"/>
      <c r="F18" s="76"/>
      <c r="G18" s="77"/>
      <c r="H18" s="76"/>
      <c r="I18" s="76"/>
      <c r="J18" s="76"/>
      <c r="K18" s="76"/>
      <c r="L18" s="77"/>
    </row>
    <row r="19" spans="2:12" ht="12.75">
      <c r="B19" s="76"/>
      <c r="C19" s="76"/>
      <c r="D19" s="76"/>
      <c r="E19" s="76"/>
      <c r="F19" s="76"/>
      <c r="G19" s="77"/>
      <c r="H19" s="76"/>
      <c r="I19" s="76"/>
      <c r="J19" s="76"/>
      <c r="K19" s="76"/>
      <c r="L19" s="77"/>
    </row>
    <row r="20" spans="2:12" ht="12.75">
      <c r="B20" s="76">
        <v>1</v>
      </c>
      <c r="C20" s="548"/>
      <c r="D20" s="549"/>
      <c r="E20" s="549"/>
      <c r="F20" s="549"/>
      <c r="G20" s="549"/>
      <c r="H20" s="549"/>
      <c r="I20" s="76"/>
      <c r="J20" s="269"/>
      <c r="K20" s="76"/>
      <c r="L20" s="77"/>
    </row>
    <row r="21" spans="2:12" ht="12.75">
      <c r="B21" s="76">
        <v>2</v>
      </c>
      <c r="C21" s="548"/>
      <c r="D21" s="549"/>
      <c r="E21" s="549"/>
      <c r="F21" s="549"/>
      <c r="G21" s="549"/>
      <c r="H21" s="549"/>
      <c r="I21" s="76"/>
      <c r="J21" s="269"/>
      <c r="K21" s="76"/>
      <c r="L21" s="77"/>
    </row>
    <row r="22" spans="2:12" ht="12.75">
      <c r="B22" s="76">
        <v>3</v>
      </c>
      <c r="C22" s="548"/>
      <c r="D22" s="549"/>
      <c r="E22" s="549"/>
      <c r="F22" s="549"/>
      <c r="G22" s="549"/>
      <c r="H22" s="549"/>
      <c r="I22" s="76"/>
      <c r="J22" s="269"/>
      <c r="K22" s="76"/>
      <c r="L22" s="77"/>
    </row>
    <row r="23" spans="2:12" ht="12.75">
      <c r="B23" s="76">
        <v>4</v>
      </c>
      <c r="C23" s="548"/>
      <c r="D23" s="549"/>
      <c r="E23" s="549"/>
      <c r="F23" s="549"/>
      <c r="G23" s="549"/>
      <c r="H23" s="549"/>
      <c r="I23" s="76"/>
      <c r="J23" s="269"/>
      <c r="K23" s="76"/>
      <c r="L23" s="77"/>
    </row>
    <row r="24" spans="2:12" ht="12.75">
      <c r="B24" s="76">
        <v>5</v>
      </c>
      <c r="C24" s="548"/>
      <c r="D24" s="549"/>
      <c r="E24" s="549"/>
      <c r="F24" s="549"/>
      <c r="G24" s="549"/>
      <c r="H24" s="549"/>
      <c r="I24" s="76"/>
      <c r="J24" s="269"/>
      <c r="K24" s="76"/>
      <c r="L24" s="77"/>
    </row>
    <row r="25" spans="2:12" ht="12.75">
      <c r="B25" s="76">
        <v>6</v>
      </c>
      <c r="C25" s="548"/>
      <c r="D25" s="549"/>
      <c r="E25" s="549"/>
      <c r="F25" s="549"/>
      <c r="G25" s="549"/>
      <c r="H25" s="549"/>
      <c r="I25" s="76"/>
      <c r="J25" s="269"/>
      <c r="K25" s="76"/>
      <c r="L25" s="77"/>
    </row>
    <row r="26" spans="2:12" ht="12.75">
      <c r="B26" s="76">
        <v>7</v>
      </c>
      <c r="C26" s="548"/>
      <c r="D26" s="549"/>
      <c r="E26" s="549"/>
      <c r="F26" s="549"/>
      <c r="G26" s="549"/>
      <c r="H26" s="549"/>
      <c r="I26" s="76"/>
      <c r="J26" s="269"/>
      <c r="K26" s="76"/>
      <c r="L26" s="80"/>
    </row>
    <row r="27" spans="2:12" ht="12.75">
      <c r="B27" s="76"/>
      <c r="C27" s="76"/>
      <c r="D27" s="76"/>
      <c r="E27" s="76"/>
      <c r="F27" s="76"/>
      <c r="G27" s="76"/>
      <c r="H27" s="76"/>
      <c r="I27" s="76"/>
      <c r="J27" s="76"/>
      <c r="K27" s="76"/>
      <c r="L27" s="76"/>
    </row>
    <row r="28" spans="2:12" ht="12.75">
      <c r="B28" s="76"/>
      <c r="C28" s="76"/>
      <c r="D28" s="79"/>
      <c r="E28" s="79"/>
      <c r="F28" s="76"/>
      <c r="G28" s="77"/>
      <c r="H28" s="79" t="s">
        <v>58</v>
      </c>
      <c r="I28" s="76"/>
      <c r="J28" s="76"/>
      <c r="K28" s="76"/>
      <c r="L28" s="270">
        <f>L10+L15-SUM(J20:J26)</f>
        <v>0</v>
      </c>
    </row>
    <row r="29" spans="2:12" ht="12.75">
      <c r="B29" s="76"/>
      <c r="C29" s="76"/>
      <c r="D29" s="76"/>
      <c r="E29" s="76"/>
      <c r="F29" s="76"/>
      <c r="G29" s="77"/>
      <c r="H29" s="76"/>
      <c r="I29" s="76"/>
      <c r="J29" s="76"/>
      <c r="K29" s="76"/>
      <c r="L29" s="76"/>
    </row>
    <row r="30" spans="2:12" ht="12.75">
      <c r="B30" s="76"/>
      <c r="C30" s="76"/>
      <c r="D30" s="76"/>
      <c r="E30" s="76"/>
      <c r="F30" s="76"/>
      <c r="G30" s="77"/>
      <c r="H30" s="79" t="s">
        <v>115</v>
      </c>
      <c r="I30" s="76"/>
      <c r="J30" s="76"/>
      <c r="K30" s="76"/>
      <c r="L30" s="269"/>
    </row>
    <row r="31" spans="2:12" ht="12.75">
      <c r="B31" s="76"/>
      <c r="C31" s="76"/>
      <c r="D31" s="76"/>
      <c r="E31" s="76"/>
      <c r="F31" s="76"/>
      <c r="G31" s="77"/>
      <c r="H31" s="76"/>
      <c r="I31" s="76"/>
      <c r="J31" s="76"/>
      <c r="K31" s="76"/>
      <c r="L31" s="76"/>
    </row>
    <row r="32" spans="2:12" ht="12.75">
      <c r="B32" s="76"/>
      <c r="C32" s="76"/>
      <c r="D32" s="76"/>
      <c r="E32" s="76"/>
      <c r="F32" s="76"/>
      <c r="G32" s="77"/>
      <c r="H32" s="79" t="s">
        <v>264</v>
      </c>
      <c r="I32" s="76"/>
      <c r="J32" s="76"/>
      <c r="K32" s="76"/>
      <c r="L32" s="365" t="str">
        <f>IF(ABS(L30-L28)&lt;0.001,"P","O")</f>
        <v>P</v>
      </c>
    </row>
    <row r="33" spans="2:12" ht="12.75">
      <c r="D33" s="76"/>
      <c r="E33" s="76"/>
      <c r="F33" s="76"/>
      <c r="G33" s="77"/>
      <c r="H33" s="76"/>
      <c r="I33" s="76"/>
      <c r="J33" s="76"/>
      <c r="K33" s="76"/>
      <c r="L33" s="76"/>
    </row>
    <row r="34" spans="2:12" ht="12.75">
      <c r="B34" s="76"/>
      <c r="C34" s="79" t="s">
        <v>116</v>
      </c>
      <c r="D34" s="76"/>
      <c r="E34" s="76"/>
      <c r="F34" s="76"/>
      <c r="G34" s="77"/>
      <c r="H34" s="76"/>
      <c r="I34" s="76"/>
      <c r="J34" s="76"/>
      <c r="K34" s="76"/>
      <c r="L34" s="76"/>
    </row>
    <row r="35" spans="2:12" ht="12.75">
      <c r="B35" s="43">
        <v>1</v>
      </c>
      <c r="C35" s="545"/>
      <c r="D35" s="546"/>
      <c r="E35" s="546"/>
      <c r="F35" s="546"/>
      <c r="G35" s="546"/>
      <c r="H35" s="546"/>
      <c r="I35" s="546"/>
      <c r="J35" s="546"/>
      <c r="K35" s="546"/>
      <c r="L35" s="547"/>
    </row>
    <row r="36" spans="2:12" ht="12.75">
      <c r="B36" s="43">
        <v>2</v>
      </c>
      <c r="C36" s="545"/>
      <c r="D36" s="546"/>
      <c r="E36" s="546"/>
      <c r="F36" s="546"/>
      <c r="G36" s="546"/>
      <c r="H36" s="546"/>
      <c r="I36" s="546"/>
      <c r="J36" s="546"/>
      <c r="K36" s="546"/>
      <c r="L36" s="547"/>
    </row>
    <row r="37" spans="2:12" ht="12.75">
      <c r="B37" s="43">
        <v>3</v>
      </c>
      <c r="C37" s="545"/>
      <c r="D37" s="546"/>
      <c r="E37" s="546"/>
      <c r="F37" s="546"/>
      <c r="G37" s="546"/>
      <c r="H37" s="546"/>
      <c r="I37" s="546"/>
      <c r="J37" s="546"/>
      <c r="K37" s="546"/>
      <c r="L37" s="547"/>
    </row>
    <row r="38" spans="2:12" ht="12.75">
      <c r="B38" s="43">
        <v>4</v>
      </c>
      <c r="C38" s="545"/>
      <c r="D38" s="546"/>
      <c r="E38" s="546"/>
      <c r="F38" s="546"/>
      <c r="G38" s="546"/>
      <c r="H38" s="546"/>
      <c r="I38" s="546"/>
      <c r="J38" s="546"/>
      <c r="K38" s="546"/>
      <c r="L38" s="547"/>
    </row>
    <row r="39" spans="2:12" ht="12.75">
      <c r="B39" s="43">
        <v>5</v>
      </c>
      <c r="C39" s="545"/>
      <c r="D39" s="546"/>
      <c r="E39" s="546"/>
      <c r="F39" s="546"/>
      <c r="G39" s="546"/>
      <c r="H39" s="546"/>
      <c r="I39" s="546"/>
      <c r="J39" s="546"/>
      <c r="K39" s="546"/>
      <c r="L39" s="547"/>
    </row>
    <row r="40" spans="2:12" ht="12.75">
      <c r="B40" s="43">
        <v>6</v>
      </c>
      <c r="C40" s="545"/>
      <c r="D40" s="546"/>
      <c r="E40" s="546"/>
      <c r="F40" s="546"/>
      <c r="G40" s="546"/>
      <c r="H40" s="546"/>
      <c r="I40" s="546"/>
      <c r="J40" s="546"/>
      <c r="K40" s="546"/>
      <c r="L40" s="547"/>
    </row>
    <row r="41" spans="2:12" ht="12.75">
      <c r="B41" s="43">
        <v>7</v>
      </c>
      <c r="C41" s="545"/>
      <c r="D41" s="546"/>
      <c r="E41" s="546"/>
      <c r="F41" s="546"/>
      <c r="G41" s="546"/>
      <c r="H41" s="546"/>
      <c r="I41" s="546"/>
      <c r="J41" s="546"/>
      <c r="K41" s="546"/>
      <c r="L41" s="547"/>
    </row>
    <row r="42" spans="2:12" ht="12.75"/>
    <row r="43" spans="2:12" ht="12.75" hidden="1"/>
    <row r="44" spans="2:12" ht="15" hidden="1" customHeight="1"/>
    <row r="45" spans="2:12" ht="15" hidden="1" customHeight="1"/>
    <row r="46" spans="2:12" ht="15" hidden="1" customHeight="1"/>
    <row r="47" spans="2:12" ht="15" hidden="1" customHeight="1"/>
    <row r="48" spans="2:12" ht="0" hidden="1" customHeight="1"/>
    <row r="49" ht="0" hidden="1" customHeight="1"/>
    <row r="50" ht="0" hidden="1" customHeight="1"/>
    <row r="51" ht="0" hidden="1" customHeight="1"/>
    <row r="52" ht="0" hidden="1" customHeight="1"/>
    <row r="53" ht="0" hidden="1" customHeight="1"/>
    <row r="54" ht="0" hidden="1" customHeight="1"/>
    <row r="55" ht="0" hidden="1" customHeight="1"/>
    <row r="56" ht="0" hidden="1" customHeight="1"/>
    <row r="57" ht="0" hidden="1" customHeight="1"/>
    <row r="58" ht="0" hidden="1" customHeight="1"/>
    <row r="59" ht="0" hidden="1" customHeight="1"/>
    <row r="60" ht="0" hidden="1" customHeight="1"/>
    <row r="61" ht="0" hidden="1" customHeight="1"/>
    <row r="62" ht="0" hidden="1" customHeight="1"/>
    <row r="63" ht="0" hidden="1" customHeight="1"/>
    <row r="64" ht="0" hidden="1" customHeight="1"/>
    <row r="65" ht="0" hidden="1" customHeight="1"/>
    <row r="66" ht="0" hidden="1" customHeight="1"/>
    <row r="67" ht="0" hidden="1" customHeight="1"/>
    <row r="68" ht="0" hidden="1" customHeight="1"/>
    <row r="69" ht="0" hidden="1" customHeight="1"/>
    <row r="70" ht="0" hidden="1" customHeight="1"/>
    <row r="71" ht="0" hidden="1" customHeight="1"/>
    <row r="72" ht="0" hidden="1" customHeight="1"/>
    <row r="73" ht="0" hidden="1" customHeight="1"/>
    <row r="74" ht="0" hidden="1" customHeight="1"/>
    <row r="75" ht="0" hidden="1" customHeight="1"/>
  </sheetData>
  <mergeCells count="14">
    <mergeCell ref="C26:H26"/>
    <mergeCell ref="C25:H25"/>
    <mergeCell ref="C20:H20"/>
    <mergeCell ref="C21:H21"/>
    <mergeCell ref="C22:H22"/>
    <mergeCell ref="C23:H23"/>
    <mergeCell ref="C24:H24"/>
    <mergeCell ref="C40:L40"/>
    <mergeCell ref="C41:L41"/>
    <mergeCell ref="C35:L35"/>
    <mergeCell ref="C36:L36"/>
    <mergeCell ref="C37:L37"/>
    <mergeCell ref="C38:L38"/>
    <mergeCell ref="C39:L39"/>
  </mergeCells>
  <conditionalFormatting sqref="L32 A8 A11">
    <cfRule type="cellIs" dxfId="19" priority="5" operator="equal">
      <formula>"O"</formula>
    </cfRule>
    <cfRule type="cellIs" dxfId="18" priority="6" operator="equal">
      <formula>"P"</formula>
    </cfRule>
  </conditionalFormatting>
  <hyperlinks>
    <hyperlink ref="A5" location="'Sign off'!A1" display="Index"/>
  </hyperlinks>
  <printOptions horizontalCentered="1" headings="1"/>
  <pageMargins left="0" right="0" top="0" bottom="0.35433070866141736" header="0" footer="0"/>
  <pageSetup paperSize="8" orientation="landscape" r:id="rId1"/>
  <headerFooter>
    <oddFooter>&amp;L&amp;Z&amp;F&amp;A&amp;C&amp;P&amp;R&amp;D</oddFooter>
  </headerFooter>
  <drawing r:id="rId2"/>
  <legacyDrawing r:id="rId3"/>
</worksheet>
</file>

<file path=xl/worksheets/sheet14.xml><?xml version="1.0" encoding="utf-8"?>
<worksheet xmlns="http://schemas.openxmlformats.org/spreadsheetml/2006/main" xmlns:r="http://schemas.openxmlformats.org/officeDocument/2006/relationships">
  <sheetPr codeName="Sheet16">
    <pageSetUpPr fitToPage="1"/>
  </sheetPr>
  <dimension ref="A1:WVU76"/>
  <sheetViews>
    <sheetView zoomScaleNormal="100" workbookViewId="0">
      <selection activeCell="L27" sqref="L27"/>
    </sheetView>
  </sheetViews>
  <sheetFormatPr defaultColWidth="0" defaultRowHeight="0" customHeight="1" zeroHeight="1"/>
  <cols>
    <col min="1" max="1" width="20.6640625" style="43" customWidth="1"/>
    <col min="2" max="8" width="12" style="43" customWidth="1"/>
    <col min="9" max="9" width="14.83203125" style="43" customWidth="1"/>
    <col min="10" max="12" width="12" style="43" customWidth="1"/>
    <col min="13" max="13" width="12.83203125" style="43" customWidth="1"/>
    <col min="14" max="257" width="9.33203125" style="43" hidden="1" customWidth="1"/>
    <col min="258" max="269" width="12" style="43" hidden="1" customWidth="1"/>
    <col min="270" max="513" width="0" style="43" hidden="1"/>
    <col min="514" max="525" width="12" style="43" hidden="1" customWidth="1"/>
    <col min="526" max="769" width="0" style="43" hidden="1"/>
    <col min="770" max="781" width="12" style="43" hidden="1" customWidth="1"/>
    <col min="782" max="1025" width="0" style="43" hidden="1"/>
    <col min="1026" max="1037" width="12" style="43" hidden="1" customWidth="1"/>
    <col min="1038" max="1281" width="0" style="43" hidden="1"/>
    <col min="1282" max="1293" width="12" style="43" hidden="1" customWidth="1"/>
    <col min="1294" max="1537" width="0" style="43" hidden="1"/>
    <col min="1538" max="1549" width="12" style="43" hidden="1" customWidth="1"/>
    <col min="1550" max="1793" width="0" style="43" hidden="1"/>
    <col min="1794" max="1805" width="12" style="43" hidden="1" customWidth="1"/>
    <col min="1806" max="2049" width="0" style="43" hidden="1"/>
    <col min="2050" max="2061" width="12" style="43" hidden="1" customWidth="1"/>
    <col min="2062" max="2305" width="0" style="43" hidden="1"/>
    <col min="2306" max="2317" width="12" style="43" hidden="1" customWidth="1"/>
    <col min="2318" max="2561" width="0" style="43" hidden="1"/>
    <col min="2562" max="2573" width="12" style="43" hidden="1" customWidth="1"/>
    <col min="2574" max="2817" width="0" style="43" hidden="1"/>
    <col min="2818" max="2829" width="12" style="43" hidden="1" customWidth="1"/>
    <col min="2830" max="3073" width="0" style="43" hidden="1"/>
    <col min="3074" max="3085" width="12" style="43" hidden="1" customWidth="1"/>
    <col min="3086" max="3329" width="0" style="43" hidden="1"/>
    <col min="3330" max="3341" width="12" style="43" hidden="1" customWidth="1"/>
    <col min="3342" max="3585" width="0" style="43" hidden="1"/>
    <col min="3586" max="3597" width="12" style="43" hidden="1" customWidth="1"/>
    <col min="3598" max="3841" width="0" style="43" hidden="1"/>
    <col min="3842" max="3853" width="12" style="43" hidden="1" customWidth="1"/>
    <col min="3854" max="4097" width="0" style="43" hidden="1"/>
    <col min="4098" max="4109" width="12" style="43" hidden="1" customWidth="1"/>
    <col min="4110" max="4353" width="0" style="43" hidden="1"/>
    <col min="4354" max="4365" width="12" style="43" hidden="1" customWidth="1"/>
    <col min="4366" max="4609" width="0" style="43" hidden="1"/>
    <col min="4610" max="4621" width="12" style="43" hidden="1" customWidth="1"/>
    <col min="4622" max="4865" width="0" style="43" hidden="1"/>
    <col min="4866" max="4877" width="12" style="43" hidden="1" customWidth="1"/>
    <col min="4878" max="5121" width="0" style="43" hidden="1"/>
    <col min="5122" max="5133" width="12" style="43" hidden="1" customWidth="1"/>
    <col min="5134" max="5377" width="0" style="43" hidden="1"/>
    <col min="5378" max="5389" width="12" style="43" hidden="1" customWidth="1"/>
    <col min="5390" max="5633" width="0" style="43" hidden="1"/>
    <col min="5634" max="5645" width="12" style="43" hidden="1" customWidth="1"/>
    <col min="5646" max="5889" width="0" style="43" hidden="1"/>
    <col min="5890" max="5901" width="12" style="43" hidden="1" customWidth="1"/>
    <col min="5902" max="6145" width="0" style="43" hidden="1"/>
    <col min="6146" max="6157" width="12" style="43" hidden="1" customWidth="1"/>
    <col min="6158" max="6401" width="0" style="43" hidden="1"/>
    <col min="6402" max="6413" width="12" style="43" hidden="1" customWidth="1"/>
    <col min="6414" max="6657" width="0" style="43" hidden="1"/>
    <col min="6658" max="6669" width="12" style="43" hidden="1" customWidth="1"/>
    <col min="6670" max="6913" width="0" style="43" hidden="1"/>
    <col min="6914" max="6925" width="12" style="43" hidden="1" customWidth="1"/>
    <col min="6926" max="7169" width="0" style="43" hidden="1"/>
    <col min="7170" max="7181" width="12" style="43" hidden="1" customWidth="1"/>
    <col min="7182" max="7425" width="0" style="43" hidden="1"/>
    <col min="7426" max="7437" width="12" style="43" hidden="1" customWidth="1"/>
    <col min="7438" max="7681" width="0" style="43" hidden="1"/>
    <col min="7682" max="7693" width="12" style="43" hidden="1" customWidth="1"/>
    <col min="7694" max="7937" width="0" style="43" hidden="1"/>
    <col min="7938" max="7949" width="12" style="43" hidden="1" customWidth="1"/>
    <col min="7950" max="8193" width="0" style="43" hidden="1"/>
    <col min="8194" max="8205" width="12" style="43" hidden="1" customWidth="1"/>
    <col min="8206" max="8449" width="0" style="43" hidden="1"/>
    <col min="8450" max="8461" width="12" style="43" hidden="1" customWidth="1"/>
    <col min="8462" max="8705" width="0" style="43" hidden="1"/>
    <col min="8706" max="8717" width="12" style="43" hidden="1" customWidth="1"/>
    <col min="8718" max="8961" width="0" style="43" hidden="1"/>
    <col min="8962" max="8973" width="12" style="43" hidden="1" customWidth="1"/>
    <col min="8974" max="9217" width="0" style="43" hidden="1"/>
    <col min="9218" max="9229" width="12" style="43" hidden="1" customWidth="1"/>
    <col min="9230" max="9473" width="0" style="43" hidden="1"/>
    <col min="9474" max="9485" width="12" style="43" hidden="1" customWidth="1"/>
    <col min="9486" max="9729" width="0" style="43" hidden="1"/>
    <col min="9730" max="9741" width="12" style="43" hidden="1" customWidth="1"/>
    <col min="9742" max="9985" width="0" style="43" hidden="1"/>
    <col min="9986" max="9997" width="12" style="43" hidden="1" customWidth="1"/>
    <col min="9998" max="10241" width="0" style="43" hidden="1"/>
    <col min="10242" max="10253" width="12" style="43" hidden="1" customWidth="1"/>
    <col min="10254" max="10497" width="0" style="43" hidden="1"/>
    <col min="10498" max="10509" width="12" style="43" hidden="1" customWidth="1"/>
    <col min="10510" max="10753" width="0" style="43" hidden="1"/>
    <col min="10754" max="10765" width="12" style="43" hidden="1" customWidth="1"/>
    <col min="10766" max="11009" width="0" style="43" hidden="1"/>
    <col min="11010" max="11021" width="12" style="43" hidden="1" customWidth="1"/>
    <col min="11022" max="11265" width="0" style="43" hidden="1"/>
    <col min="11266" max="11277" width="12" style="43" hidden="1" customWidth="1"/>
    <col min="11278" max="11521" width="0" style="43" hidden="1"/>
    <col min="11522" max="11533" width="12" style="43" hidden="1" customWidth="1"/>
    <col min="11534" max="11777" width="0" style="43" hidden="1"/>
    <col min="11778" max="11789" width="12" style="43" hidden="1" customWidth="1"/>
    <col min="11790" max="12033" width="0" style="43" hidden="1"/>
    <col min="12034" max="12045" width="12" style="43" hidden="1" customWidth="1"/>
    <col min="12046" max="12289" width="0" style="43" hidden="1"/>
    <col min="12290" max="12301" width="12" style="43" hidden="1" customWidth="1"/>
    <col min="12302" max="12545" width="0" style="43" hidden="1"/>
    <col min="12546" max="12557" width="12" style="43" hidden="1" customWidth="1"/>
    <col min="12558" max="12801" width="0" style="43" hidden="1"/>
    <col min="12802" max="12813" width="12" style="43" hidden="1" customWidth="1"/>
    <col min="12814" max="13057" width="0" style="43" hidden="1"/>
    <col min="13058" max="13069" width="12" style="43" hidden="1" customWidth="1"/>
    <col min="13070" max="13313" width="0" style="43" hidden="1"/>
    <col min="13314" max="13325" width="12" style="43" hidden="1" customWidth="1"/>
    <col min="13326" max="13569" width="0" style="43" hidden="1"/>
    <col min="13570" max="13581" width="12" style="43" hidden="1" customWidth="1"/>
    <col min="13582" max="13825" width="0" style="43" hidden="1"/>
    <col min="13826" max="13837" width="12" style="43" hidden="1" customWidth="1"/>
    <col min="13838" max="14081" width="0" style="43" hidden="1"/>
    <col min="14082" max="14093" width="12" style="43" hidden="1" customWidth="1"/>
    <col min="14094" max="14337" width="0" style="43" hidden="1"/>
    <col min="14338" max="14349" width="12" style="43" hidden="1" customWidth="1"/>
    <col min="14350" max="14593" width="0" style="43" hidden="1"/>
    <col min="14594" max="14605" width="12" style="43" hidden="1" customWidth="1"/>
    <col min="14606" max="14849" width="0" style="43" hidden="1"/>
    <col min="14850" max="14861" width="12" style="43" hidden="1" customWidth="1"/>
    <col min="14862" max="15105" width="0" style="43" hidden="1"/>
    <col min="15106" max="15117" width="12" style="43" hidden="1" customWidth="1"/>
    <col min="15118" max="15361" width="0" style="43" hidden="1"/>
    <col min="15362" max="15373" width="12" style="43" hidden="1" customWidth="1"/>
    <col min="15374" max="15617" width="0" style="43" hidden="1"/>
    <col min="15618" max="15629" width="12" style="43" hidden="1" customWidth="1"/>
    <col min="15630" max="15873" width="0" style="43" hidden="1"/>
    <col min="15874" max="15885" width="12" style="43" hidden="1" customWidth="1"/>
    <col min="15886" max="16129" width="0" style="43" hidden="1"/>
    <col min="16130" max="16141" width="12" style="43" hidden="1" customWidth="1"/>
    <col min="16142" max="16384" width="0" style="84" hidden="1"/>
  </cols>
  <sheetData>
    <row r="1" spans="1:12" s="356" customFormat="1" ht="27.75" customHeight="1">
      <c r="D1" s="357" t="s">
        <v>185</v>
      </c>
    </row>
    <row r="2" spans="1:12" s="356" customFormat="1" ht="18" customHeight="1">
      <c r="D2" s="356" t="s">
        <v>169</v>
      </c>
      <c r="E2" s="358" t="str">
        <f>'Universal data'!$D$11</f>
        <v>Demo sands</v>
      </c>
    </row>
    <row r="3" spans="1:12" s="356" customFormat="1" ht="18" customHeight="1">
      <c r="D3" s="356" t="s">
        <v>170</v>
      </c>
      <c r="E3" s="358" t="str">
        <f>'Universal data'!$D$9</f>
        <v>[Offshore transmission operator 1]</v>
      </c>
      <c r="G3" s="360"/>
      <c r="H3" s="360"/>
      <c r="K3" s="360"/>
    </row>
    <row r="4" spans="1:12" s="356" customFormat="1" ht="18" customHeight="1">
      <c r="D4" s="356" t="s">
        <v>171</v>
      </c>
      <c r="E4" s="358" t="str">
        <f>'Universal data'!$D$12-1&amp;"-"&amp;'Universal data'!$D$12-2000</f>
        <v>2012-13</v>
      </c>
      <c r="G4" s="360"/>
      <c r="H4" s="360"/>
      <c r="K4" s="360"/>
    </row>
    <row r="5" spans="1:12" s="43" customFormat="1" ht="12.75">
      <c r="A5" s="26" t="s">
        <v>251</v>
      </c>
    </row>
    <row r="6" spans="1:12" ht="21">
      <c r="B6" s="193" t="s">
        <v>300</v>
      </c>
    </row>
    <row r="7" spans="1:12" ht="12.75">
      <c r="A7" s="43" t="s">
        <v>266</v>
      </c>
    </row>
    <row r="8" spans="1:12" ht="12.75">
      <c r="A8" s="379" t="s">
        <v>267</v>
      </c>
      <c r="B8" s="76"/>
      <c r="C8" s="76"/>
      <c r="D8" s="76"/>
      <c r="E8" s="76"/>
      <c r="F8" s="76"/>
      <c r="G8" s="77"/>
      <c r="H8" s="76"/>
      <c r="I8" s="76"/>
      <c r="J8" s="78" t="s">
        <v>57</v>
      </c>
      <c r="K8" s="76"/>
      <c r="L8" s="78" t="s">
        <v>57</v>
      </c>
    </row>
    <row r="9" spans="1:12" ht="12.75">
      <c r="A9" s="255"/>
      <c r="B9" s="76"/>
      <c r="C9" s="85"/>
      <c r="D9" s="76"/>
      <c r="E9" s="76"/>
      <c r="F9" s="76"/>
      <c r="G9" s="77"/>
      <c r="H9" s="76"/>
      <c r="I9" s="76"/>
      <c r="J9" s="78"/>
      <c r="K9" s="76"/>
      <c r="L9" s="78"/>
    </row>
    <row r="10" spans="1:12" ht="12.75">
      <c r="A10" s="255" t="s">
        <v>268</v>
      </c>
      <c r="B10" s="76"/>
      <c r="C10" s="86" t="str">
        <f>"Allowed Revenue for prior year ("&amp;'Universal data'!D12-2&amp;"-"&amp;'Universal data'!D12-1&amp;")"</f>
        <v>Allowed Revenue for prior year (2011-2012)</v>
      </c>
      <c r="D10" s="76"/>
      <c r="E10" s="76"/>
      <c r="F10" s="76"/>
      <c r="G10" s="77"/>
      <c r="H10" s="76"/>
      <c r="I10" s="76"/>
      <c r="J10" s="80"/>
      <c r="K10" s="76"/>
      <c r="L10" s="270">
        <f>HLOOKUP('Universal data'!D12-1,'2a'!D8:Y15,8,FALSE)</f>
        <v>0</v>
      </c>
    </row>
    <row r="11" spans="1:12" ht="12.75">
      <c r="A11" s="379" t="s">
        <v>269</v>
      </c>
      <c r="B11" s="79"/>
      <c r="C11" s="76"/>
      <c r="D11" s="76"/>
      <c r="E11" s="76"/>
      <c r="F11" s="76"/>
      <c r="G11" s="77"/>
      <c r="H11" s="77"/>
      <c r="I11" s="76"/>
      <c r="J11" s="80"/>
      <c r="K11" s="76"/>
      <c r="L11" s="76"/>
    </row>
    <row r="12" spans="1:12" ht="12.75">
      <c r="A12" s="414"/>
      <c r="B12" s="76"/>
      <c r="C12" s="76" t="s">
        <v>303</v>
      </c>
      <c r="D12" s="76"/>
      <c r="E12" s="76"/>
      <c r="F12" s="76"/>
      <c r="G12" s="77"/>
      <c r="H12" s="76"/>
      <c r="I12" s="76"/>
      <c r="J12" s="76"/>
      <c r="K12" s="76"/>
      <c r="L12" s="76"/>
    </row>
    <row r="13" spans="1:12" ht="12.75">
      <c r="A13" s="415" t="b">
        <v>0</v>
      </c>
      <c r="B13" s="76"/>
      <c r="C13" s="76"/>
      <c r="D13" s="76" t="s">
        <v>113</v>
      </c>
      <c r="E13" s="76"/>
      <c r="F13" s="76"/>
      <c r="G13" s="77"/>
      <c r="H13" s="76"/>
      <c r="I13" s="76"/>
      <c r="J13" s="80"/>
      <c r="K13" s="76"/>
      <c r="L13" s="269"/>
    </row>
    <row r="14" spans="1:12" ht="12.75">
      <c r="A14" s="415"/>
      <c r="B14" s="76"/>
      <c r="C14" s="76"/>
      <c r="D14" s="76" t="s">
        <v>302</v>
      </c>
      <c r="E14" s="76"/>
      <c r="F14" s="76"/>
      <c r="G14" s="77"/>
      <c r="H14" s="76"/>
      <c r="I14" s="76"/>
      <c r="J14" s="80"/>
      <c r="K14" s="76"/>
      <c r="L14" s="269"/>
    </row>
    <row r="15" spans="1:12" ht="12.75">
      <c r="B15" s="76"/>
      <c r="C15" s="76"/>
      <c r="D15" s="76"/>
      <c r="E15" s="76"/>
      <c r="F15" s="76"/>
      <c r="G15" s="77"/>
      <c r="H15" s="76"/>
      <c r="I15" s="76"/>
      <c r="J15" s="76"/>
      <c r="K15" s="76"/>
      <c r="L15" s="88"/>
    </row>
    <row r="16" spans="1:12" ht="12.75">
      <c r="B16" s="76"/>
      <c r="C16" s="76" t="s">
        <v>265</v>
      </c>
      <c r="D16" s="76"/>
      <c r="E16" s="76"/>
      <c r="F16" s="76"/>
      <c r="G16" s="77"/>
      <c r="H16" s="76"/>
      <c r="I16" s="76"/>
      <c r="J16" s="76"/>
      <c r="K16" s="76"/>
      <c r="L16" s="76"/>
    </row>
    <row r="17" spans="1:12" ht="12.75">
      <c r="A17" s="420"/>
      <c r="B17" s="76"/>
      <c r="C17" s="76" t="s">
        <v>114</v>
      </c>
      <c r="D17" s="76"/>
      <c r="E17" s="76"/>
      <c r="F17" s="76"/>
      <c r="G17" s="77"/>
      <c r="H17" s="76"/>
      <c r="I17" s="76"/>
      <c r="J17" s="76"/>
      <c r="K17" s="76"/>
      <c r="L17" s="77"/>
    </row>
    <row r="18" spans="1:12" ht="12.75">
      <c r="B18" s="76"/>
      <c r="C18" s="76"/>
      <c r="D18" s="76"/>
      <c r="E18" s="76"/>
      <c r="F18" s="76"/>
      <c r="G18" s="77"/>
      <c r="H18" s="76"/>
      <c r="I18" s="76"/>
      <c r="J18" s="76"/>
      <c r="K18" s="76"/>
      <c r="L18" s="77"/>
    </row>
    <row r="19" spans="1:12" ht="12.75">
      <c r="B19" s="76">
        <v>1</v>
      </c>
      <c r="C19" s="552"/>
      <c r="D19" s="553"/>
      <c r="E19" s="553"/>
      <c r="F19" s="553"/>
      <c r="G19" s="553"/>
      <c r="H19" s="554"/>
      <c r="I19" s="76"/>
      <c r="J19" s="269"/>
      <c r="K19" s="76"/>
      <c r="L19" s="77"/>
    </row>
    <row r="20" spans="1:12" ht="12.75">
      <c r="B20" s="76">
        <v>2</v>
      </c>
      <c r="C20" s="552"/>
      <c r="D20" s="553"/>
      <c r="E20" s="553"/>
      <c r="F20" s="553"/>
      <c r="G20" s="553"/>
      <c r="H20" s="554"/>
      <c r="I20" s="76"/>
      <c r="J20" s="269"/>
      <c r="K20" s="76"/>
      <c r="L20" s="77"/>
    </row>
    <row r="21" spans="1:12" ht="12.75">
      <c r="B21" s="76">
        <v>3</v>
      </c>
      <c r="C21" s="552"/>
      <c r="D21" s="553"/>
      <c r="E21" s="553"/>
      <c r="F21" s="553"/>
      <c r="G21" s="553"/>
      <c r="H21" s="554"/>
      <c r="I21" s="76"/>
      <c r="J21" s="269"/>
      <c r="K21" s="76"/>
      <c r="L21" s="77"/>
    </row>
    <row r="22" spans="1:12" ht="12.75">
      <c r="B22" s="76">
        <v>4</v>
      </c>
      <c r="C22" s="552"/>
      <c r="D22" s="553"/>
      <c r="E22" s="553"/>
      <c r="F22" s="553"/>
      <c r="G22" s="553"/>
      <c r="H22" s="554"/>
      <c r="I22" s="76"/>
      <c r="J22" s="269"/>
      <c r="K22" s="76"/>
      <c r="L22" s="77"/>
    </row>
    <row r="23" spans="1:12" ht="12.75">
      <c r="B23" s="76">
        <v>5</v>
      </c>
      <c r="C23" s="552"/>
      <c r="D23" s="553"/>
      <c r="E23" s="553"/>
      <c r="F23" s="553"/>
      <c r="G23" s="553"/>
      <c r="H23" s="554"/>
      <c r="I23" s="76"/>
      <c r="J23" s="269"/>
      <c r="K23" s="76"/>
      <c r="L23" s="77"/>
    </row>
    <row r="24" spans="1:12" ht="12.75">
      <c r="B24" s="76">
        <v>6</v>
      </c>
      <c r="C24" s="552"/>
      <c r="D24" s="553"/>
      <c r="E24" s="553"/>
      <c r="F24" s="553"/>
      <c r="G24" s="553"/>
      <c r="H24" s="554"/>
      <c r="I24" s="76"/>
      <c r="J24" s="269"/>
      <c r="K24" s="76"/>
      <c r="L24" s="77"/>
    </row>
    <row r="25" spans="1:12" ht="12.75">
      <c r="B25" s="76">
        <v>7</v>
      </c>
      <c r="C25" s="552"/>
      <c r="D25" s="553"/>
      <c r="E25" s="553"/>
      <c r="F25" s="553"/>
      <c r="G25" s="553"/>
      <c r="H25" s="554"/>
      <c r="I25" s="76"/>
      <c r="J25" s="269"/>
      <c r="K25" s="76"/>
      <c r="L25" s="80"/>
    </row>
    <row r="26" spans="1:12" ht="12.75">
      <c r="B26" s="76"/>
      <c r="C26" s="76"/>
      <c r="D26" s="76"/>
      <c r="E26" s="76"/>
      <c r="F26" s="76"/>
      <c r="G26" s="76"/>
      <c r="H26" s="76"/>
      <c r="I26" s="76"/>
      <c r="J26" s="76"/>
      <c r="K26" s="76"/>
      <c r="L26" s="76"/>
    </row>
    <row r="27" spans="1:12" ht="12.75">
      <c r="B27" s="76"/>
      <c r="C27" s="76"/>
      <c r="D27" s="79"/>
      <c r="E27" s="79"/>
      <c r="F27" s="76"/>
      <c r="G27" s="77"/>
      <c r="H27" s="79" t="s">
        <v>58</v>
      </c>
      <c r="I27" s="76"/>
      <c r="J27" s="76"/>
      <c r="K27" s="76"/>
      <c r="L27" s="270">
        <f>L10+L13+L14-SUM(J19:J25)</f>
        <v>0</v>
      </c>
    </row>
    <row r="28" spans="1:12" ht="12.75">
      <c r="B28" s="76"/>
      <c r="C28" s="76"/>
      <c r="D28" s="76"/>
      <c r="E28" s="76"/>
      <c r="F28" s="76"/>
      <c r="G28" s="77"/>
      <c r="H28" s="76"/>
      <c r="I28" s="76"/>
      <c r="J28" s="76"/>
      <c r="K28" s="76"/>
      <c r="L28" s="76"/>
    </row>
    <row r="29" spans="1:12" ht="26.45" customHeight="1">
      <c r="B29" s="76"/>
      <c r="C29" s="76"/>
      <c r="D29" s="76"/>
      <c r="E29" s="76"/>
      <c r="F29" s="76"/>
      <c r="G29" s="77"/>
      <c r="H29" s="550" t="s">
        <v>304</v>
      </c>
      <c r="I29" s="551"/>
      <c r="J29" s="551"/>
      <c r="K29" s="76"/>
      <c r="L29" s="269"/>
    </row>
    <row r="30" spans="1:12" ht="12.75">
      <c r="B30" s="76"/>
      <c r="C30" s="76"/>
      <c r="D30" s="76"/>
      <c r="E30" s="76"/>
      <c r="F30" s="76"/>
      <c r="G30" s="77"/>
      <c r="H30" s="76"/>
      <c r="I30" s="76"/>
      <c r="J30" s="76"/>
      <c r="K30" s="76"/>
      <c r="L30" s="76"/>
    </row>
    <row r="31" spans="1:12" ht="12.75">
      <c r="B31" s="76"/>
      <c r="C31" s="76"/>
      <c r="D31" s="76"/>
      <c r="E31" s="76"/>
      <c r="F31" s="76"/>
      <c r="G31" s="77"/>
      <c r="H31" s="79" t="s">
        <v>264</v>
      </c>
      <c r="I31" s="76"/>
      <c r="J31" s="76"/>
      <c r="K31" s="76"/>
      <c r="L31" s="365" t="str">
        <f>IF(ABS(L29-L27)&lt;0.001,"P","O")</f>
        <v>P</v>
      </c>
    </row>
    <row r="32" spans="1:12" ht="12.75">
      <c r="C32" s="76"/>
      <c r="D32" s="76"/>
      <c r="E32" s="76"/>
      <c r="F32" s="76"/>
      <c r="G32" s="77"/>
      <c r="H32" s="76"/>
      <c r="I32" s="76"/>
      <c r="J32" s="76"/>
      <c r="K32" s="76"/>
      <c r="L32" s="76"/>
    </row>
    <row r="33" spans="2:12" ht="12.75">
      <c r="B33" s="76"/>
      <c r="C33" s="79" t="s">
        <v>116</v>
      </c>
      <c r="D33" s="76"/>
      <c r="E33" s="76"/>
      <c r="F33" s="76"/>
      <c r="G33" s="77"/>
      <c r="H33" s="76"/>
      <c r="I33" s="76"/>
      <c r="J33" s="76"/>
      <c r="K33" s="76"/>
      <c r="L33" s="76"/>
    </row>
    <row r="34" spans="2:12" ht="12.75">
      <c r="B34" s="43">
        <v>1</v>
      </c>
      <c r="C34" s="545"/>
      <c r="D34" s="546"/>
      <c r="E34" s="546"/>
      <c r="F34" s="546"/>
      <c r="G34" s="546"/>
      <c r="H34" s="546"/>
      <c r="I34" s="546"/>
      <c r="J34" s="546"/>
      <c r="K34" s="546"/>
      <c r="L34" s="547"/>
    </row>
    <row r="35" spans="2:12" ht="12.75">
      <c r="B35" s="43">
        <v>2</v>
      </c>
      <c r="C35" s="545"/>
      <c r="D35" s="546"/>
      <c r="E35" s="546"/>
      <c r="F35" s="546"/>
      <c r="G35" s="546"/>
      <c r="H35" s="546"/>
      <c r="I35" s="546"/>
      <c r="J35" s="546"/>
      <c r="K35" s="546"/>
      <c r="L35" s="547"/>
    </row>
    <row r="36" spans="2:12" ht="12.75">
      <c r="B36" s="43">
        <v>3</v>
      </c>
      <c r="C36" s="545"/>
      <c r="D36" s="546"/>
      <c r="E36" s="546"/>
      <c r="F36" s="546"/>
      <c r="G36" s="546"/>
      <c r="H36" s="546"/>
      <c r="I36" s="546"/>
      <c r="J36" s="546"/>
      <c r="K36" s="546"/>
      <c r="L36" s="547"/>
    </row>
    <row r="37" spans="2:12" ht="12.75">
      <c r="B37" s="43">
        <v>4</v>
      </c>
      <c r="C37" s="545"/>
      <c r="D37" s="546"/>
      <c r="E37" s="546"/>
      <c r="F37" s="546"/>
      <c r="G37" s="546"/>
      <c r="H37" s="546"/>
      <c r="I37" s="546"/>
      <c r="J37" s="546"/>
      <c r="K37" s="546"/>
      <c r="L37" s="547"/>
    </row>
    <row r="38" spans="2:12" ht="12.75">
      <c r="B38" s="43">
        <v>5</v>
      </c>
      <c r="C38" s="545"/>
      <c r="D38" s="546"/>
      <c r="E38" s="546"/>
      <c r="F38" s="546"/>
      <c r="G38" s="546"/>
      <c r="H38" s="546"/>
      <c r="I38" s="546"/>
      <c r="J38" s="546"/>
      <c r="K38" s="546"/>
      <c r="L38" s="547"/>
    </row>
    <row r="39" spans="2:12" ht="12.75">
      <c r="B39" s="43">
        <v>6</v>
      </c>
      <c r="C39" s="545"/>
      <c r="D39" s="546"/>
      <c r="E39" s="546"/>
      <c r="F39" s="546"/>
      <c r="G39" s="546"/>
      <c r="H39" s="546"/>
      <c r="I39" s="546"/>
      <c r="J39" s="546"/>
      <c r="K39" s="546"/>
      <c r="L39" s="547"/>
    </row>
    <row r="40" spans="2:12" ht="12.75">
      <c r="B40" s="43">
        <v>7</v>
      </c>
      <c r="C40" s="545"/>
      <c r="D40" s="546"/>
      <c r="E40" s="546"/>
      <c r="F40" s="546"/>
      <c r="G40" s="546"/>
      <c r="H40" s="546"/>
      <c r="I40" s="546"/>
      <c r="J40" s="546"/>
      <c r="K40" s="546"/>
      <c r="L40" s="547"/>
    </row>
    <row r="41" spans="2:12" ht="12.75"/>
    <row r="42" spans="2:12" ht="12.75" hidden="1"/>
    <row r="43" spans="2:12" ht="15" hidden="1" customHeight="1"/>
    <row r="44" spans="2:12" ht="15" hidden="1" customHeight="1"/>
    <row r="45" spans="2:12" ht="15" hidden="1" customHeight="1"/>
    <row r="46" spans="2:12" ht="15" hidden="1" customHeight="1"/>
    <row r="47" spans="2:12" ht="15" hidden="1" customHeight="1"/>
    <row r="48" spans="2:12" ht="0" hidden="1" customHeight="1"/>
    <row r="49" ht="0" hidden="1" customHeight="1"/>
    <row r="50" ht="0" hidden="1" customHeight="1"/>
    <row r="51" ht="0" hidden="1" customHeight="1"/>
    <row r="52" ht="0" hidden="1" customHeight="1"/>
    <row r="53" ht="0" hidden="1" customHeight="1"/>
    <row r="54" ht="0" hidden="1" customHeight="1"/>
    <row r="55" ht="0" hidden="1" customHeight="1"/>
    <row r="56" ht="0" hidden="1" customHeight="1"/>
    <row r="57" ht="0" hidden="1" customHeight="1"/>
    <row r="58" ht="0" hidden="1" customHeight="1"/>
    <row r="59" ht="0" hidden="1" customHeight="1"/>
    <row r="60" ht="0" hidden="1" customHeight="1"/>
    <row r="61" ht="0" hidden="1" customHeight="1"/>
    <row r="62" ht="0" hidden="1" customHeight="1"/>
    <row r="63" ht="0" hidden="1" customHeight="1"/>
    <row r="64" ht="0" hidden="1" customHeight="1"/>
    <row r="65" ht="0" hidden="1" customHeight="1"/>
    <row r="66" ht="0" hidden="1" customHeight="1"/>
    <row r="67" ht="0" hidden="1" customHeight="1"/>
    <row r="68" ht="0" hidden="1" customHeight="1"/>
    <row r="69" ht="0" hidden="1" customHeight="1"/>
    <row r="70" ht="0" hidden="1" customHeight="1"/>
    <row r="71" ht="0" hidden="1" customHeight="1"/>
    <row r="72" ht="0" hidden="1" customHeight="1"/>
    <row r="73" ht="0" hidden="1" customHeight="1"/>
    <row r="74" ht="0" hidden="1" customHeight="1"/>
    <row r="75" ht="0" hidden="1" customHeight="1"/>
    <row r="76" ht="0" hidden="1" customHeight="1"/>
  </sheetData>
  <mergeCells count="15">
    <mergeCell ref="H29:J29"/>
    <mergeCell ref="C25:H25"/>
    <mergeCell ref="C24:H24"/>
    <mergeCell ref="C19:H19"/>
    <mergeCell ref="C20:H20"/>
    <mergeCell ref="C21:H21"/>
    <mergeCell ref="C22:H22"/>
    <mergeCell ref="C23:H23"/>
    <mergeCell ref="C39:L39"/>
    <mergeCell ref="C40:L40"/>
    <mergeCell ref="C34:L34"/>
    <mergeCell ref="C35:L35"/>
    <mergeCell ref="C36:L36"/>
    <mergeCell ref="C37:L37"/>
    <mergeCell ref="C38:L38"/>
  </mergeCells>
  <conditionalFormatting sqref="L31 A8 A11">
    <cfRule type="cellIs" dxfId="17" priority="5" operator="equal">
      <formula>"O"</formula>
    </cfRule>
    <cfRule type="cellIs" dxfId="16" priority="6" operator="equal">
      <formula>"P"</formula>
    </cfRule>
  </conditionalFormatting>
  <hyperlinks>
    <hyperlink ref="A5" location="'Sign off'!A1" display="Index"/>
  </hyperlinks>
  <printOptions horizontalCentered="1" headings="1"/>
  <pageMargins left="0" right="0" top="0" bottom="0.35433070866141736" header="0" footer="0"/>
  <pageSetup paperSize="8" orientation="landscape" r:id="rId1"/>
  <headerFooter>
    <oddFooter>&amp;L&amp;Z&amp;F&amp;A&amp;C&amp;P&amp;R&amp;N</oddFooter>
  </headerFooter>
  <drawing r:id="rId2"/>
  <legacyDrawing r:id="rId3"/>
</worksheet>
</file>

<file path=xl/worksheets/sheet15.xml><?xml version="1.0" encoding="utf-8"?>
<worksheet xmlns="http://schemas.openxmlformats.org/spreadsheetml/2006/main" xmlns:r="http://schemas.openxmlformats.org/officeDocument/2006/relationships">
  <sheetPr codeName="Sheet6"/>
  <dimension ref="A1:Q290"/>
  <sheetViews>
    <sheetView zoomScale="90" zoomScaleNormal="90" zoomScaleSheetLayoutView="100" workbookViewId="0">
      <pane xSplit="4" ySplit="9" topLeftCell="E10" activePane="bottomRight" state="frozen"/>
      <selection activeCell="B6" sqref="B6:I16"/>
      <selection pane="topRight" activeCell="B6" sqref="B6:I16"/>
      <selection pane="bottomLeft" activeCell="B6" sqref="B6:I16"/>
      <selection pane="bottomRight" activeCell="F11" sqref="F11"/>
    </sheetView>
  </sheetViews>
  <sheetFormatPr defaultColWidth="0" defaultRowHeight="12.75" zeroHeight="1"/>
  <cols>
    <col min="1" max="1" width="21.6640625" style="43" customWidth="1"/>
    <col min="2" max="2" width="13" style="255" customWidth="1"/>
    <col min="3" max="3" width="10.6640625" style="255" customWidth="1"/>
    <col min="4" max="4" width="15.83203125" style="255" customWidth="1"/>
    <col min="5" max="6" width="16" style="255" customWidth="1"/>
    <col min="7" max="7" width="21.33203125" style="255" customWidth="1"/>
    <col min="8" max="9" width="16.5" style="255" customWidth="1"/>
    <col min="10" max="10" width="22.6640625" style="255" customWidth="1"/>
    <col min="11" max="11" width="10.5" style="255" customWidth="1"/>
    <col min="12" max="12" width="17.33203125" style="255" customWidth="1"/>
    <col min="13" max="13" width="14.83203125" style="255" customWidth="1"/>
    <col min="14" max="14" width="13.33203125" style="255" customWidth="1"/>
    <col min="15" max="15" width="9.33203125" style="255" customWidth="1"/>
    <col min="16" max="17" width="0" style="255" hidden="1" customWidth="1"/>
    <col min="18" max="16384" width="9.33203125" style="255" hidden="1"/>
  </cols>
  <sheetData>
    <row r="1" spans="1:15" s="356" customFormat="1" ht="19.5">
      <c r="D1" s="357" t="s">
        <v>185</v>
      </c>
    </row>
    <row r="2" spans="1:15" s="356" customFormat="1" ht="14.25">
      <c r="D2" s="356" t="s">
        <v>169</v>
      </c>
      <c r="E2" s="358" t="str">
        <f>'Universal data'!$D$11</f>
        <v>Demo sands</v>
      </c>
    </row>
    <row r="3" spans="1:15" s="356" customFormat="1" ht="22.5">
      <c r="D3" s="356" t="s">
        <v>170</v>
      </c>
      <c r="E3" s="358" t="str">
        <f>'Universal data'!$D$9</f>
        <v>[Offshore transmission operator 1]</v>
      </c>
      <c r="G3" s="360"/>
      <c r="H3" s="360"/>
      <c r="K3" s="360"/>
    </row>
    <row r="4" spans="1:15" s="356" customFormat="1" ht="22.5">
      <c r="D4" s="356" t="s">
        <v>171</v>
      </c>
      <c r="E4" s="358" t="str">
        <f>'Universal data'!$D$12-1&amp;"-"&amp;'Universal data'!$D$12-2000</f>
        <v>2012-13</v>
      </c>
      <c r="G4" s="360"/>
      <c r="H4" s="360"/>
      <c r="K4" s="360"/>
    </row>
    <row r="5" spans="1:15">
      <c r="A5" s="26" t="s">
        <v>251</v>
      </c>
      <c r="O5" s="272"/>
    </row>
    <row r="6" spans="1:15" ht="18">
      <c r="A6" s="255"/>
      <c r="B6" s="258" t="s">
        <v>243</v>
      </c>
    </row>
    <row r="7" spans="1:15">
      <c r="A7" s="255" t="s">
        <v>266</v>
      </c>
    </row>
    <row r="8" spans="1:15" ht="63.75">
      <c r="A8" s="379" t="s">
        <v>267</v>
      </c>
      <c r="B8" s="275" t="s">
        <v>313</v>
      </c>
      <c r="C8" s="274" t="s">
        <v>4</v>
      </c>
      <c r="D8" s="466" t="s">
        <v>307</v>
      </c>
      <c r="E8" s="275" t="s">
        <v>286</v>
      </c>
      <c r="F8" s="276" t="s">
        <v>285</v>
      </c>
      <c r="G8" s="276" t="s">
        <v>284</v>
      </c>
      <c r="H8" s="276" t="s">
        <v>42</v>
      </c>
      <c r="I8" s="276" t="s">
        <v>43</v>
      </c>
      <c r="J8" s="276" t="s">
        <v>283</v>
      </c>
      <c r="K8" s="276" t="s">
        <v>22</v>
      </c>
      <c r="L8" s="276" t="s">
        <v>9</v>
      </c>
      <c r="M8" s="276" t="s">
        <v>44</v>
      </c>
      <c r="N8" s="276" t="s">
        <v>45</v>
      </c>
    </row>
    <row r="9" spans="1:15">
      <c r="A9" s="425"/>
      <c r="B9" s="273"/>
      <c r="C9" s="274"/>
      <c r="D9" s="275"/>
      <c r="E9" s="275"/>
      <c r="F9" s="276"/>
      <c r="G9" s="276" t="s">
        <v>280</v>
      </c>
      <c r="H9" s="276" t="s">
        <v>278</v>
      </c>
      <c r="I9" s="276" t="s">
        <v>279</v>
      </c>
      <c r="J9" s="276" t="s">
        <v>281</v>
      </c>
      <c r="K9" s="276" t="s">
        <v>298</v>
      </c>
      <c r="L9" s="276" t="s">
        <v>277</v>
      </c>
      <c r="M9" s="276" t="s">
        <v>276</v>
      </c>
      <c r="N9" s="276" t="s">
        <v>275</v>
      </c>
    </row>
    <row r="10" spans="1:15">
      <c r="A10" s="255"/>
      <c r="B10" s="278">
        <v>2</v>
      </c>
      <c r="C10" s="278">
        <v>1</v>
      </c>
      <c r="D10" s="558">
        <v>31</v>
      </c>
      <c r="E10" s="286"/>
      <c r="F10" s="286"/>
      <c r="G10" s="330">
        <f>J10-(E10+F10)</f>
        <v>206832</v>
      </c>
      <c r="H10" s="279">
        <f>HLOOKUP($C10,'1'!$D$35:$O$38,3,FALSE)</f>
        <v>1.2</v>
      </c>
      <c r="I10" s="279">
        <f>HLOOKUP($C10,'1'!$D$35:$O$38,4,FALSE)</f>
        <v>0.98</v>
      </c>
      <c r="J10" s="280">
        <f>'1'!$E$42*D10*24</f>
        <v>206832</v>
      </c>
      <c r="K10" s="280">
        <f>(J10*'1'!$E$43)</f>
        <v>8273.2800000000007</v>
      </c>
      <c r="L10" s="280">
        <f t="shared" ref="L10:L73" si="0">(G10-(J10*I10))*H10</f>
        <v>4963.9680000000162</v>
      </c>
      <c r="M10" s="280">
        <f t="shared" ref="M10:M73" si="1">IF(L10&lt;0,L10,0)</f>
        <v>0</v>
      </c>
      <c r="N10" s="280">
        <f t="shared" ref="N10:N73" si="2">IF(L10&gt;0,L10,0)</f>
        <v>4963.9680000000162</v>
      </c>
    </row>
    <row r="11" spans="1:15" s="82" customFormat="1">
      <c r="A11" s="255" t="s">
        <v>268</v>
      </c>
      <c r="B11" s="281">
        <f t="shared" ref="B11:B74" si="3">IF(C11=1,B10+1,B10)</f>
        <v>2</v>
      </c>
      <c r="C11" s="281">
        <f t="shared" ref="C11:C74" si="4">IF(C10=12,1,C10+1)</f>
        <v>2</v>
      </c>
      <c r="D11" s="558">
        <v>28.25</v>
      </c>
      <c r="E11" s="286"/>
      <c r="F11" s="286"/>
      <c r="G11" s="282">
        <f t="shared" ref="G11:G74" si="5">J11-(E11+F11)</f>
        <v>188484</v>
      </c>
      <c r="H11" s="284">
        <f>HLOOKUP($C11,'1'!$D$35:$O$38,3,FALSE)</f>
        <v>1.2</v>
      </c>
      <c r="I11" s="284">
        <f>HLOOKUP($C11,'1'!$D$35:$O$38,4,FALSE)</f>
        <v>0.98</v>
      </c>
      <c r="J11" s="277">
        <f>'1'!$E$42*D11*24</f>
        <v>188484</v>
      </c>
      <c r="K11" s="277">
        <f>(J11*'1'!$E$43)</f>
        <v>7539.3600000000006</v>
      </c>
      <c r="L11" s="277">
        <f t="shared" si="0"/>
        <v>4523.6159999999918</v>
      </c>
      <c r="M11" s="277">
        <f t="shared" si="1"/>
        <v>0</v>
      </c>
      <c r="N11" s="277">
        <f t="shared" si="2"/>
        <v>4523.6159999999918</v>
      </c>
    </row>
    <row r="12" spans="1:15">
      <c r="A12" s="379" t="s">
        <v>269</v>
      </c>
      <c r="B12" s="281">
        <f t="shared" si="3"/>
        <v>2</v>
      </c>
      <c r="C12" s="281">
        <f t="shared" si="4"/>
        <v>3</v>
      </c>
      <c r="D12" s="558">
        <v>31</v>
      </c>
      <c r="E12" s="286"/>
      <c r="F12" s="286"/>
      <c r="G12" s="282">
        <f t="shared" si="5"/>
        <v>206832</v>
      </c>
      <c r="H12" s="283">
        <f>HLOOKUP($C12,'1'!$D$35:$O$38,3,FALSE)</f>
        <v>0.8</v>
      </c>
      <c r="I12" s="284">
        <f>HLOOKUP($C12,'1'!$D$35:$O$38,4,FALSE)</f>
        <v>0.98</v>
      </c>
      <c r="J12" s="282">
        <f>'1'!$E$42*D12*24</f>
        <v>206832</v>
      </c>
      <c r="K12" s="277">
        <f>(J12*'1'!$E$43)</f>
        <v>8273.2800000000007</v>
      </c>
      <c r="L12" s="277">
        <f t="shared" si="0"/>
        <v>3309.3120000000113</v>
      </c>
      <c r="M12" s="277">
        <f t="shared" si="1"/>
        <v>0</v>
      </c>
      <c r="N12" s="277">
        <f t="shared" si="2"/>
        <v>3309.3120000000113</v>
      </c>
    </row>
    <row r="13" spans="1:15">
      <c r="A13" s="414"/>
      <c r="B13" s="281">
        <f t="shared" si="3"/>
        <v>2</v>
      </c>
      <c r="C13" s="281">
        <f t="shared" si="4"/>
        <v>4</v>
      </c>
      <c r="D13" s="558">
        <v>30</v>
      </c>
      <c r="E13" s="286"/>
      <c r="F13" s="286"/>
      <c r="G13" s="282">
        <f t="shared" si="5"/>
        <v>200160</v>
      </c>
      <c r="H13" s="283">
        <f>HLOOKUP($C13,'1'!$D$35:$O$38,3,FALSE)</f>
        <v>0.8</v>
      </c>
      <c r="I13" s="284">
        <f>HLOOKUP($C13,'1'!$D$35:$O$38,4,FALSE)</f>
        <v>0.98</v>
      </c>
      <c r="J13" s="282">
        <f>'1'!$E$42*D13*24</f>
        <v>200160</v>
      </c>
      <c r="K13" s="277">
        <f>(J13*'1'!$E$43)</f>
        <v>8006.4000000000005</v>
      </c>
      <c r="L13" s="277">
        <f t="shared" si="0"/>
        <v>3202.5600000000095</v>
      </c>
      <c r="M13" s="277">
        <f t="shared" si="1"/>
        <v>0</v>
      </c>
      <c r="N13" s="277">
        <f t="shared" si="2"/>
        <v>3202.5600000000095</v>
      </c>
    </row>
    <row r="14" spans="1:15">
      <c r="A14" s="415" t="b">
        <v>0</v>
      </c>
      <c r="B14" s="281">
        <f t="shared" si="3"/>
        <v>2</v>
      </c>
      <c r="C14" s="281">
        <f t="shared" si="4"/>
        <v>5</v>
      </c>
      <c r="D14" s="558">
        <v>31</v>
      </c>
      <c r="E14" s="286"/>
      <c r="F14" s="286"/>
      <c r="G14" s="282">
        <f t="shared" si="5"/>
        <v>206832</v>
      </c>
      <c r="H14" s="283">
        <f>HLOOKUP($C14,'1'!$D$35:$O$38,3,FALSE)</f>
        <v>0.8</v>
      </c>
      <c r="I14" s="284">
        <f>HLOOKUP($C14,'1'!$D$35:$O$38,4,FALSE)</f>
        <v>0.98</v>
      </c>
      <c r="J14" s="282">
        <f>'1'!$E$42*D14*24</f>
        <v>206832</v>
      </c>
      <c r="K14" s="277">
        <f>(J14*'1'!$E$43)</f>
        <v>8273.2800000000007</v>
      </c>
      <c r="L14" s="277">
        <f t="shared" si="0"/>
        <v>3309.3120000000113</v>
      </c>
      <c r="M14" s="277">
        <f t="shared" si="1"/>
        <v>0</v>
      </c>
      <c r="N14" s="277">
        <f t="shared" si="2"/>
        <v>3309.3120000000113</v>
      </c>
    </row>
    <row r="15" spans="1:15">
      <c r="B15" s="281">
        <f t="shared" si="3"/>
        <v>2</v>
      </c>
      <c r="C15" s="281">
        <f t="shared" si="4"/>
        <v>6</v>
      </c>
      <c r="D15" s="558">
        <v>30</v>
      </c>
      <c r="E15" s="286"/>
      <c r="F15" s="286"/>
      <c r="G15" s="282">
        <f t="shared" si="5"/>
        <v>200160</v>
      </c>
      <c r="H15" s="283">
        <f>HLOOKUP($C15,'1'!$D$35:$O$38,3,FALSE)</f>
        <v>0.8</v>
      </c>
      <c r="I15" s="284">
        <f>HLOOKUP($C15,'1'!$D$35:$O$38,4,FALSE)</f>
        <v>0.98</v>
      </c>
      <c r="J15" s="282">
        <f>'1'!$E$42*D15*24</f>
        <v>200160</v>
      </c>
      <c r="K15" s="277">
        <f>(J15*'1'!$E$43)</f>
        <v>8006.4000000000005</v>
      </c>
      <c r="L15" s="277">
        <f t="shared" si="0"/>
        <v>3202.5600000000095</v>
      </c>
      <c r="M15" s="277">
        <f t="shared" si="1"/>
        <v>0</v>
      </c>
      <c r="N15" s="277">
        <f t="shared" si="2"/>
        <v>3202.5600000000095</v>
      </c>
    </row>
    <row r="16" spans="1:15">
      <c r="B16" s="281">
        <f t="shared" si="3"/>
        <v>2</v>
      </c>
      <c r="C16" s="281">
        <f t="shared" si="4"/>
        <v>7</v>
      </c>
      <c r="D16" s="558">
        <v>31</v>
      </c>
      <c r="E16" s="286"/>
      <c r="F16" s="286"/>
      <c r="G16" s="282">
        <f t="shared" si="5"/>
        <v>206832</v>
      </c>
      <c r="H16" s="283">
        <f>HLOOKUP($C16,'1'!$D$35:$O$38,3,FALSE)</f>
        <v>0.8</v>
      </c>
      <c r="I16" s="284">
        <f>HLOOKUP($C16,'1'!$D$35:$O$38,4,FALSE)</f>
        <v>0.98</v>
      </c>
      <c r="J16" s="282">
        <f>'1'!$E$42*D16*24</f>
        <v>206832</v>
      </c>
      <c r="K16" s="277">
        <f>(J16*'1'!$E$43)</f>
        <v>8273.2800000000007</v>
      </c>
      <c r="L16" s="277">
        <f t="shared" si="0"/>
        <v>3309.3120000000113</v>
      </c>
      <c r="M16" s="277">
        <f t="shared" si="1"/>
        <v>0</v>
      </c>
      <c r="N16" s="277">
        <f t="shared" si="2"/>
        <v>3309.3120000000113</v>
      </c>
    </row>
    <row r="17" spans="1:14">
      <c r="A17" s="420"/>
      <c r="B17" s="281">
        <f t="shared" si="3"/>
        <v>2</v>
      </c>
      <c r="C17" s="281">
        <f t="shared" si="4"/>
        <v>8</v>
      </c>
      <c r="D17" s="558">
        <v>31</v>
      </c>
      <c r="E17" s="286"/>
      <c r="F17" s="286"/>
      <c r="G17" s="282">
        <f t="shared" si="5"/>
        <v>206832</v>
      </c>
      <c r="H17" s="283">
        <f>HLOOKUP($C17,'1'!$D$35:$O$38,3,FALSE)</f>
        <v>0.8</v>
      </c>
      <c r="I17" s="284">
        <f>HLOOKUP($C17,'1'!$D$35:$O$38,4,FALSE)</f>
        <v>0.98</v>
      </c>
      <c r="J17" s="282">
        <f>'1'!$E$42*D17*24</f>
        <v>206832</v>
      </c>
      <c r="K17" s="277">
        <f>(J17*'1'!$E$43)</f>
        <v>8273.2800000000007</v>
      </c>
      <c r="L17" s="277">
        <f t="shared" si="0"/>
        <v>3309.3120000000113</v>
      </c>
      <c r="M17" s="277">
        <f t="shared" si="1"/>
        <v>0</v>
      </c>
      <c r="N17" s="277">
        <f t="shared" si="2"/>
        <v>3309.3120000000113</v>
      </c>
    </row>
    <row r="18" spans="1:14">
      <c r="B18" s="281">
        <f t="shared" si="3"/>
        <v>2</v>
      </c>
      <c r="C18" s="281">
        <f t="shared" si="4"/>
        <v>9</v>
      </c>
      <c r="D18" s="558">
        <v>30</v>
      </c>
      <c r="E18" s="286"/>
      <c r="F18" s="286"/>
      <c r="G18" s="282">
        <f t="shared" si="5"/>
        <v>200160</v>
      </c>
      <c r="H18" s="283">
        <f>HLOOKUP($C18,'1'!$D$35:$O$38,3,FALSE)</f>
        <v>1.2</v>
      </c>
      <c r="I18" s="284">
        <f>HLOOKUP($C18,'1'!$D$35:$O$38,4,FALSE)</f>
        <v>0.98</v>
      </c>
      <c r="J18" s="282">
        <f>'1'!$E$42*D18*24</f>
        <v>200160</v>
      </c>
      <c r="K18" s="277">
        <f>(J18*'1'!$E$43)</f>
        <v>8006.4000000000005</v>
      </c>
      <c r="L18" s="277">
        <f t="shared" si="0"/>
        <v>4803.8400000000138</v>
      </c>
      <c r="M18" s="277">
        <f t="shared" si="1"/>
        <v>0</v>
      </c>
      <c r="N18" s="277">
        <f t="shared" si="2"/>
        <v>4803.8400000000138</v>
      </c>
    </row>
    <row r="19" spans="1:14">
      <c r="B19" s="281">
        <f t="shared" si="3"/>
        <v>2</v>
      </c>
      <c r="C19" s="281">
        <f t="shared" si="4"/>
        <v>10</v>
      </c>
      <c r="D19" s="558">
        <v>31</v>
      </c>
      <c r="E19" s="286"/>
      <c r="F19" s="286"/>
      <c r="G19" s="282">
        <f t="shared" si="5"/>
        <v>206832</v>
      </c>
      <c r="H19" s="283">
        <f>HLOOKUP($C19,'1'!$D$35:$O$38,3,FALSE)</f>
        <v>1.2</v>
      </c>
      <c r="I19" s="284">
        <f>HLOOKUP($C19,'1'!$D$35:$O$38,4,FALSE)</f>
        <v>0.98</v>
      </c>
      <c r="J19" s="282">
        <f>'1'!$E$42*D19*24</f>
        <v>206832</v>
      </c>
      <c r="K19" s="277">
        <f>(J19*'1'!$E$43)</f>
        <v>8273.2800000000007</v>
      </c>
      <c r="L19" s="277">
        <f t="shared" si="0"/>
        <v>4963.9680000000162</v>
      </c>
      <c r="M19" s="277">
        <f t="shared" si="1"/>
        <v>0</v>
      </c>
      <c r="N19" s="277">
        <f t="shared" si="2"/>
        <v>4963.9680000000162</v>
      </c>
    </row>
    <row r="20" spans="1:14">
      <c r="B20" s="281">
        <f t="shared" si="3"/>
        <v>2</v>
      </c>
      <c r="C20" s="281">
        <f t="shared" si="4"/>
        <v>11</v>
      </c>
      <c r="D20" s="558">
        <v>30</v>
      </c>
      <c r="E20" s="286"/>
      <c r="F20" s="286"/>
      <c r="G20" s="282">
        <f t="shared" si="5"/>
        <v>200160</v>
      </c>
      <c r="H20" s="283">
        <f>HLOOKUP($C20,'1'!$D$35:$O$38,3,FALSE)</f>
        <v>1.2</v>
      </c>
      <c r="I20" s="284">
        <f>HLOOKUP($C20,'1'!$D$35:$O$38,4,FALSE)</f>
        <v>0.98</v>
      </c>
      <c r="J20" s="282">
        <f>'1'!$E$42*D20*24</f>
        <v>200160</v>
      </c>
      <c r="K20" s="277">
        <f>(J20*'1'!$E$43)</f>
        <v>8006.4000000000005</v>
      </c>
      <c r="L20" s="277">
        <f t="shared" si="0"/>
        <v>4803.8400000000138</v>
      </c>
      <c r="M20" s="277">
        <f t="shared" si="1"/>
        <v>0</v>
      </c>
      <c r="N20" s="277">
        <f t="shared" si="2"/>
        <v>4803.8400000000138</v>
      </c>
    </row>
    <row r="21" spans="1:14">
      <c r="B21" s="281">
        <f t="shared" si="3"/>
        <v>2</v>
      </c>
      <c r="C21" s="281">
        <f t="shared" si="4"/>
        <v>12</v>
      </c>
      <c r="D21" s="558">
        <v>31</v>
      </c>
      <c r="E21" s="286"/>
      <c r="F21" s="286"/>
      <c r="G21" s="282">
        <f t="shared" si="5"/>
        <v>206832</v>
      </c>
      <c r="H21" s="283">
        <f>HLOOKUP($C21,'1'!$D$35:$O$38,3,FALSE)</f>
        <v>1.2</v>
      </c>
      <c r="I21" s="284">
        <f>HLOOKUP($C21,'1'!$D$35:$O$38,4,FALSE)</f>
        <v>0.98</v>
      </c>
      <c r="J21" s="282">
        <f>'1'!$E$42*D21*24</f>
        <v>206832</v>
      </c>
      <c r="K21" s="277">
        <f>(J21*'1'!$E$43)</f>
        <v>8273.2800000000007</v>
      </c>
      <c r="L21" s="277">
        <f t="shared" si="0"/>
        <v>4963.9680000000162</v>
      </c>
      <c r="M21" s="277">
        <f t="shared" si="1"/>
        <v>0</v>
      </c>
      <c r="N21" s="277">
        <f t="shared" si="2"/>
        <v>4963.9680000000162</v>
      </c>
    </row>
    <row r="22" spans="1:14">
      <c r="B22" s="281">
        <f t="shared" si="3"/>
        <v>3</v>
      </c>
      <c r="C22" s="281">
        <f t="shared" si="4"/>
        <v>1</v>
      </c>
      <c r="D22" s="558">
        <v>31</v>
      </c>
      <c r="E22" s="286"/>
      <c r="F22" s="286"/>
      <c r="G22" s="282">
        <f t="shared" si="5"/>
        <v>206832</v>
      </c>
      <c r="H22" s="283">
        <f>HLOOKUP($C22,'1'!$D$35:$O$38,3,FALSE)</f>
        <v>1.2</v>
      </c>
      <c r="I22" s="284">
        <f>HLOOKUP($C22,'1'!$D$35:$O$38,4,FALSE)</f>
        <v>0.98</v>
      </c>
      <c r="J22" s="282">
        <f>'1'!$E$42*D22*24</f>
        <v>206832</v>
      </c>
      <c r="K22" s="277">
        <f>(J22*'1'!$E$43)</f>
        <v>8273.2800000000007</v>
      </c>
      <c r="L22" s="277">
        <f t="shared" si="0"/>
        <v>4963.9680000000162</v>
      </c>
      <c r="M22" s="277">
        <f t="shared" si="1"/>
        <v>0</v>
      </c>
      <c r="N22" s="277">
        <f t="shared" si="2"/>
        <v>4963.9680000000162</v>
      </c>
    </row>
    <row r="23" spans="1:14">
      <c r="B23" s="281">
        <f t="shared" si="3"/>
        <v>3</v>
      </c>
      <c r="C23" s="281">
        <f t="shared" si="4"/>
        <v>2</v>
      </c>
      <c r="D23" s="558">
        <v>28.25</v>
      </c>
      <c r="E23" s="286"/>
      <c r="F23" s="286"/>
      <c r="G23" s="282">
        <f t="shared" si="5"/>
        <v>188484</v>
      </c>
      <c r="H23" s="283">
        <f>HLOOKUP($C23,'1'!$D$35:$O$38,3,FALSE)</f>
        <v>1.2</v>
      </c>
      <c r="I23" s="284">
        <f>HLOOKUP($C23,'1'!$D$35:$O$38,4,FALSE)</f>
        <v>0.98</v>
      </c>
      <c r="J23" s="282">
        <f>'1'!$E$42*D23*24</f>
        <v>188484</v>
      </c>
      <c r="K23" s="277">
        <f>(J23*'1'!$E$43)</f>
        <v>7539.3600000000006</v>
      </c>
      <c r="L23" s="277">
        <f t="shared" si="0"/>
        <v>4523.6159999999918</v>
      </c>
      <c r="M23" s="277">
        <f t="shared" si="1"/>
        <v>0</v>
      </c>
      <c r="N23" s="277">
        <f t="shared" si="2"/>
        <v>4523.6159999999918</v>
      </c>
    </row>
    <row r="24" spans="1:14">
      <c r="B24" s="281">
        <f t="shared" si="3"/>
        <v>3</v>
      </c>
      <c r="C24" s="281">
        <f t="shared" si="4"/>
        <v>3</v>
      </c>
      <c r="D24" s="558">
        <v>31</v>
      </c>
      <c r="E24" s="286"/>
      <c r="F24" s="286"/>
      <c r="G24" s="282">
        <f t="shared" si="5"/>
        <v>206832</v>
      </c>
      <c r="H24" s="283">
        <f>HLOOKUP($C24,'1'!$D$35:$O$38,3,FALSE)</f>
        <v>0.8</v>
      </c>
      <c r="I24" s="284">
        <f>HLOOKUP($C24,'1'!$D$35:$O$38,4,FALSE)</f>
        <v>0.98</v>
      </c>
      <c r="J24" s="282">
        <f>'1'!$E$42*D24*24</f>
        <v>206832</v>
      </c>
      <c r="K24" s="277">
        <f>(J24*'1'!$E$43)</f>
        <v>8273.2800000000007</v>
      </c>
      <c r="L24" s="277">
        <f t="shared" si="0"/>
        <v>3309.3120000000113</v>
      </c>
      <c r="M24" s="277">
        <f t="shared" si="1"/>
        <v>0</v>
      </c>
      <c r="N24" s="277">
        <f t="shared" si="2"/>
        <v>3309.3120000000113</v>
      </c>
    </row>
    <row r="25" spans="1:14">
      <c r="B25" s="281">
        <f t="shared" si="3"/>
        <v>3</v>
      </c>
      <c r="C25" s="281">
        <f t="shared" si="4"/>
        <v>4</v>
      </c>
      <c r="D25" s="558">
        <v>30</v>
      </c>
      <c r="E25" s="286"/>
      <c r="F25" s="286"/>
      <c r="G25" s="282">
        <f t="shared" si="5"/>
        <v>200160</v>
      </c>
      <c r="H25" s="283">
        <f>HLOOKUP($C25,'1'!$D$35:$O$38,3,FALSE)</f>
        <v>0.8</v>
      </c>
      <c r="I25" s="284">
        <f>HLOOKUP($C25,'1'!$D$35:$O$38,4,FALSE)</f>
        <v>0.98</v>
      </c>
      <c r="J25" s="282">
        <f>'1'!$E$42*D25*24</f>
        <v>200160</v>
      </c>
      <c r="K25" s="277">
        <f>(J25*'1'!$E$43)</f>
        <v>8006.4000000000005</v>
      </c>
      <c r="L25" s="277">
        <f t="shared" si="0"/>
        <v>3202.5600000000095</v>
      </c>
      <c r="M25" s="277">
        <f t="shared" si="1"/>
        <v>0</v>
      </c>
      <c r="N25" s="277">
        <f t="shared" si="2"/>
        <v>3202.5600000000095</v>
      </c>
    </row>
    <row r="26" spans="1:14">
      <c r="B26" s="281">
        <f t="shared" si="3"/>
        <v>3</v>
      </c>
      <c r="C26" s="281">
        <f t="shared" si="4"/>
        <v>5</v>
      </c>
      <c r="D26" s="558">
        <v>31</v>
      </c>
      <c r="E26" s="286"/>
      <c r="F26" s="286"/>
      <c r="G26" s="282">
        <f t="shared" si="5"/>
        <v>206832</v>
      </c>
      <c r="H26" s="283">
        <f>HLOOKUP($C26,'1'!$D$35:$O$38,3,FALSE)</f>
        <v>0.8</v>
      </c>
      <c r="I26" s="284">
        <f>HLOOKUP($C26,'1'!$D$35:$O$38,4,FALSE)</f>
        <v>0.98</v>
      </c>
      <c r="J26" s="282">
        <f>'1'!$E$42*D26*24</f>
        <v>206832</v>
      </c>
      <c r="K26" s="277">
        <f>(J26*'1'!$E$43)</f>
        <v>8273.2800000000007</v>
      </c>
      <c r="L26" s="277">
        <f t="shared" si="0"/>
        <v>3309.3120000000113</v>
      </c>
      <c r="M26" s="277">
        <f t="shared" si="1"/>
        <v>0</v>
      </c>
      <c r="N26" s="277">
        <f t="shared" si="2"/>
        <v>3309.3120000000113</v>
      </c>
    </row>
    <row r="27" spans="1:14">
      <c r="B27" s="281">
        <f t="shared" si="3"/>
        <v>3</v>
      </c>
      <c r="C27" s="281">
        <f t="shared" si="4"/>
        <v>6</v>
      </c>
      <c r="D27" s="558">
        <v>30</v>
      </c>
      <c r="E27" s="286"/>
      <c r="F27" s="286"/>
      <c r="G27" s="282">
        <f t="shared" si="5"/>
        <v>200160</v>
      </c>
      <c r="H27" s="283">
        <f>HLOOKUP($C27,'1'!$D$35:$O$38,3,FALSE)</f>
        <v>0.8</v>
      </c>
      <c r="I27" s="284">
        <f>HLOOKUP($C27,'1'!$D$35:$O$38,4,FALSE)</f>
        <v>0.98</v>
      </c>
      <c r="J27" s="282">
        <f>'1'!$E$42*D27*24</f>
        <v>200160</v>
      </c>
      <c r="K27" s="277">
        <f>(J27*'1'!$E$43)</f>
        <v>8006.4000000000005</v>
      </c>
      <c r="L27" s="277">
        <f t="shared" si="0"/>
        <v>3202.5600000000095</v>
      </c>
      <c r="M27" s="277">
        <f t="shared" si="1"/>
        <v>0</v>
      </c>
      <c r="N27" s="277">
        <f t="shared" si="2"/>
        <v>3202.5600000000095</v>
      </c>
    </row>
    <row r="28" spans="1:14">
      <c r="B28" s="281">
        <f t="shared" si="3"/>
        <v>3</v>
      </c>
      <c r="C28" s="281">
        <f t="shared" si="4"/>
        <v>7</v>
      </c>
      <c r="D28" s="558">
        <v>31</v>
      </c>
      <c r="E28" s="286"/>
      <c r="F28" s="286"/>
      <c r="G28" s="282">
        <f t="shared" si="5"/>
        <v>206832</v>
      </c>
      <c r="H28" s="283">
        <f>HLOOKUP($C28,'1'!$D$35:$O$38,3,FALSE)</f>
        <v>0.8</v>
      </c>
      <c r="I28" s="284">
        <f>HLOOKUP($C28,'1'!$D$35:$O$38,4,FALSE)</f>
        <v>0.98</v>
      </c>
      <c r="J28" s="282">
        <f>'1'!$E$42*D28*24</f>
        <v>206832</v>
      </c>
      <c r="K28" s="277">
        <f>(J28*'1'!$E$43)</f>
        <v>8273.2800000000007</v>
      </c>
      <c r="L28" s="277">
        <f t="shared" si="0"/>
        <v>3309.3120000000113</v>
      </c>
      <c r="M28" s="277">
        <f t="shared" si="1"/>
        <v>0</v>
      </c>
      <c r="N28" s="277">
        <f t="shared" si="2"/>
        <v>3309.3120000000113</v>
      </c>
    </row>
    <row r="29" spans="1:14">
      <c r="B29" s="281">
        <f t="shared" si="3"/>
        <v>3</v>
      </c>
      <c r="C29" s="281">
        <f t="shared" si="4"/>
        <v>8</v>
      </c>
      <c r="D29" s="558">
        <v>31</v>
      </c>
      <c r="E29" s="286"/>
      <c r="F29" s="286"/>
      <c r="G29" s="282">
        <f t="shared" si="5"/>
        <v>206832</v>
      </c>
      <c r="H29" s="283">
        <f>HLOOKUP($C29,'1'!$D$35:$O$38,3,FALSE)</f>
        <v>0.8</v>
      </c>
      <c r="I29" s="284">
        <f>HLOOKUP($C29,'1'!$D$35:$O$38,4,FALSE)</f>
        <v>0.98</v>
      </c>
      <c r="J29" s="282">
        <f>'1'!$E$42*D29*24</f>
        <v>206832</v>
      </c>
      <c r="K29" s="277">
        <f>(J29*'1'!$E$43)</f>
        <v>8273.2800000000007</v>
      </c>
      <c r="L29" s="277">
        <f t="shared" si="0"/>
        <v>3309.3120000000113</v>
      </c>
      <c r="M29" s="277">
        <f t="shared" si="1"/>
        <v>0</v>
      </c>
      <c r="N29" s="277">
        <f t="shared" si="2"/>
        <v>3309.3120000000113</v>
      </c>
    </row>
    <row r="30" spans="1:14">
      <c r="B30" s="281">
        <f t="shared" si="3"/>
        <v>3</v>
      </c>
      <c r="C30" s="281">
        <f t="shared" si="4"/>
        <v>9</v>
      </c>
      <c r="D30" s="558">
        <v>30</v>
      </c>
      <c r="E30" s="286"/>
      <c r="F30" s="286"/>
      <c r="G30" s="282">
        <f t="shared" si="5"/>
        <v>200160</v>
      </c>
      <c r="H30" s="283">
        <f>HLOOKUP($C30,'1'!$D$35:$O$38,3,FALSE)</f>
        <v>1.2</v>
      </c>
      <c r="I30" s="284">
        <f>HLOOKUP($C30,'1'!$D$35:$O$38,4,FALSE)</f>
        <v>0.98</v>
      </c>
      <c r="J30" s="282">
        <f>'1'!$E$42*D30*24</f>
        <v>200160</v>
      </c>
      <c r="K30" s="277">
        <f>(J30*'1'!$E$43)</f>
        <v>8006.4000000000005</v>
      </c>
      <c r="L30" s="277">
        <f t="shared" si="0"/>
        <v>4803.8400000000138</v>
      </c>
      <c r="M30" s="277">
        <f t="shared" si="1"/>
        <v>0</v>
      </c>
      <c r="N30" s="277">
        <f t="shared" si="2"/>
        <v>4803.8400000000138</v>
      </c>
    </row>
    <row r="31" spans="1:14">
      <c r="B31" s="281">
        <f t="shared" si="3"/>
        <v>3</v>
      </c>
      <c r="C31" s="281">
        <f t="shared" si="4"/>
        <v>10</v>
      </c>
      <c r="D31" s="558">
        <v>31</v>
      </c>
      <c r="E31" s="286"/>
      <c r="F31" s="286"/>
      <c r="G31" s="282">
        <f t="shared" si="5"/>
        <v>206832</v>
      </c>
      <c r="H31" s="283">
        <f>HLOOKUP($C31,'1'!$D$35:$O$38,3,FALSE)</f>
        <v>1.2</v>
      </c>
      <c r="I31" s="284">
        <f>HLOOKUP($C31,'1'!$D$35:$O$38,4,FALSE)</f>
        <v>0.98</v>
      </c>
      <c r="J31" s="282">
        <f>'1'!$E$42*D31*24</f>
        <v>206832</v>
      </c>
      <c r="K31" s="277">
        <f>(J31*'1'!$E$43)</f>
        <v>8273.2800000000007</v>
      </c>
      <c r="L31" s="277">
        <f t="shared" si="0"/>
        <v>4963.9680000000162</v>
      </c>
      <c r="M31" s="277">
        <f t="shared" si="1"/>
        <v>0</v>
      </c>
      <c r="N31" s="277">
        <f t="shared" si="2"/>
        <v>4963.9680000000162</v>
      </c>
    </row>
    <row r="32" spans="1:14">
      <c r="B32" s="281">
        <f t="shared" si="3"/>
        <v>3</v>
      </c>
      <c r="C32" s="281">
        <f t="shared" si="4"/>
        <v>11</v>
      </c>
      <c r="D32" s="558">
        <v>30</v>
      </c>
      <c r="E32" s="286"/>
      <c r="F32" s="286"/>
      <c r="G32" s="282">
        <f t="shared" si="5"/>
        <v>200160</v>
      </c>
      <c r="H32" s="283">
        <f>HLOOKUP($C32,'1'!$D$35:$O$38,3,FALSE)</f>
        <v>1.2</v>
      </c>
      <c r="I32" s="284">
        <f>HLOOKUP($C32,'1'!$D$35:$O$38,4,FALSE)</f>
        <v>0.98</v>
      </c>
      <c r="J32" s="282">
        <f>'1'!$E$42*D32*24</f>
        <v>200160</v>
      </c>
      <c r="K32" s="277">
        <f>(J32*'1'!$E$43)</f>
        <v>8006.4000000000005</v>
      </c>
      <c r="L32" s="277">
        <f t="shared" si="0"/>
        <v>4803.8400000000138</v>
      </c>
      <c r="M32" s="277">
        <f t="shared" si="1"/>
        <v>0</v>
      </c>
      <c r="N32" s="277">
        <f t="shared" si="2"/>
        <v>4803.8400000000138</v>
      </c>
    </row>
    <row r="33" spans="2:14">
      <c r="B33" s="281">
        <f t="shared" si="3"/>
        <v>3</v>
      </c>
      <c r="C33" s="281">
        <f t="shared" si="4"/>
        <v>12</v>
      </c>
      <c r="D33" s="558">
        <v>31</v>
      </c>
      <c r="E33" s="286"/>
      <c r="F33" s="286"/>
      <c r="G33" s="282">
        <f t="shared" si="5"/>
        <v>206832</v>
      </c>
      <c r="H33" s="283">
        <f>HLOOKUP($C33,'1'!$D$35:$O$38,3,FALSE)</f>
        <v>1.2</v>
      </c>
      <c r="I33" s="284">
        <f>HLOOKUP($C33,'1'!$D$35:$O$38,4,FALSE)</f>
        <v>0.98</v>
      </c>
      <c r="J33" s="282">
        <f>'1'!$E$42*D33*24</f>
        <v>206832</v>
      </c>
      <c r="K33" s="277">
        <f>(J33*'1'!$E$43)</f>
        <v>8273.2800000000007</v>
      </c>
      <c r="L33" s="277">
        <f t="shared" si="0"/>
        <v>4963.9680000000162</v>
      </c>
      <c r="M33" s="277">
        <f t="shared" si="1"/>
        <v>0</v>
      </c>
      <c r="N33" s="277">
        <f t="shared" si="2"/>
        <v>4963.9680000000162</v>
      </c>
    </row>
    <row r="34" spans="2:14">
      <c r="B34" s="281">
        <f t="shared" si="3"/>
        <v>4</v>
      </c>
      <c r="C34" s="281">
        <f t="shared" si="4"/>
        <v>1</v>
      </c>
      <c r="D34" s="558">
        <v>31</v>
      </c>
      <c r="E34" s="286"/>
      <c r="F34" s="286"/>
      <c r="G34" s="282">
        <f t="shared" si="5"/>
        <v>206832</v>
      </c>
      <c r="H34" s="283">
        <f>HLOOKUP($C34,'1'!$D$35:$O$38,3,FALSE)</f>
        <v>1.2</v>
      </c>
      <c r="I34" s="284">
        <f>HLOOKUP($C34,'1'!$D$35:$O$38,4,FALSE)</f>
        <v>0.98</v>
      </c>
      <c r="J34" s="282">
        <f>'1'!$E$42*D34*24</f>
        <v>206832</v>
      </c>
      <c r="K34" s="277">
        <f>(J34*'1'!$E$43)</f>
        <v>8273.2800000000007</v>
      </c>
      <c r="L34" s="277">
        <f t="shared" si="0"/>
        <v>4963.9680000000162</v>
      </c>
      <c r="M34" s="277">
        <f t="shared" si="1"/>
        <v>0</v>
      </c>
      <c r="N34" s="277">
        <f t="shared" si="2"/>
        <v>4963.9680000000162</v>
      </c>
    </row>
    <row r="35" spans="2:14">
      <c r="B35" s="281">
        <f t="shared" si="3"/>
        <v>4</v>
      </c>
      <c r="C35" s="281">
        <f t="shared" si="4"/>
        <v>2</v>
      </c>
      <c r="D35" s="558">
        <v>28.25</v>
      </c>
      <c r="E35" s="286"/>
      <c r="F35" s="286"/>
      <c r="G35" s="282">
        <f t="shared" si="5"/>
        <v>188484</v>
      </c>
      <c r="H35" s="283">
        <f>HLOOKUP($C35,'1'!$D$35:$O$38,3,FALSE)</f>
        <v>1.2</v>
      </c>
      <c r="I35" s="284">
        <f>HLOOKUP($C35,'1'!$D$35:$O$38,4,FALSE)</f>
        <v>0.98</v>
      </c>
      <c r="J35" s="282">
        <f>'1'!$E$42*D35*24</f>
        <v>188484</v>
      </c>
      <c r="K35" s="277">
        <f>(J35*'1'!$E$43)</f>
        <v>7539.3600000000006</v>
      </c>
      <c r="L35" s="277">
        <f t="shared" si="0"/>
        <v>4523.6159999999918</v>
      </c>
      <c r="M35" s="277">
        <f t="shared" si="1"/>
        <v>0</v>
      </c>
      <c r="N35" s="277">
        <f t="shared" si="2"/>
        <v>4523.6159999999918</v>
      </c>
    </row>
    <row r="36" spans="2:14">
      <c r="B36" s="281">
        <f t="shared" si="3"/>
        <v>4</v>
      </c>
      <c r="C36" s="281">
        <f t="shared" si="4"/>
        <v>3</v>
      </c>
      <c r="D36" s="558">
        <v>31</v>
      </c>
      <c r="E36" s="286"/>
      <c r="F36" s="286"/>
      <c r="G36" s="282">
        <f t="shared" si="5"/>
        <v>206832</v>
      </c>
      <c r="H36" s="283">
        <f>HLOOKUP($C36,'1'!$D$35:$O$38,3,FALSE)</f>
        <v>0.8</v>
      </c>
      <c r="I36" s="284">
        <f>HLOOKUP($C36,'1'!$D$35:$O$38,4,FALSE)</f>
        <v>0.98</v>
      </c>
      <c r="J36" s="282">
        <f>'1'!$E$42*D36*24</f>
        <v>206832</v>
      </c>
      <c r="K36" s="277">
        <f>(J36*'1'!$E$43)</f>
        <v>8273.2800000000007</v>
      </c>
      <c r="L36" s="277">
        <f t="shared" si="0"/>
        <v>3309.3120000000113</v>
      </c>
      <c r="M36" s="277">
        <f t="shared" si="1"/>
        <v>0</v>
      </c>
      <c r="N36" s="277">
        <f t="shared" si="2"/>
        <v>3309.3120000000113</v>
      </c>
    </row>
    <row r="37" spans="2:14">
      <c r="B37" s="281">
        <f t="shared" si="3"/>
        <v>4</v>
      </c>
      <c r="C37" s="281">
        <f t="shared" si="4"/>
        <v>4</v>
      </c>
      <c r="D37" s="558">
        <v>30</v>
      </c>
      <c r="E37" s="286"/>
      <c r="F37" s="286"/>
      <c r="G37" s="282">
        <f t="shared" si="5"/>
        <v>200160</v>
      </c>
      <c r="H37" s="283">
        <f>HLOOKUP($C37,'1'!$D$35:$O$38,3,FALSE)</f>
        <v>0.8</v>
      </c>
      <c r="I37" s="284">
        <f>HLOOKUP($C37,'1'!$D$35:$O$38,4,FALSE)</f>
        <v>0.98</v>
      </c>
      <c r="J37" s="282">
        <f>'1'!$E$42*D37*24</f>
        <v>200160</v>
      </c>
      <c r="K37" s="277">
        <f>(J37*'1'!$E$43)</f>
        <v>8006.4000000000005</v>
      </c>
      <c r="L37" s="277">
        <f t="shared" si="0"/>
        <v>3202.5600000000095</v>
      </c>
      <c r="M37" s="277">
        <f t="shared" si="1"/>
        <v>0</v>
      </c>
      <c r="N37" s="277">
        <f t="shared" si="2"/>
        <v>3202.5600000000095</v>
      </c>
    </row>
    <row r="38" spans="2:14">
      <c r="B38" s="281">
        <f t="shared" si="3"/>
        <v>4</v>
      </c>
      <c r="C38" s="281">
        <f t="shared" si="4"/>
        <v>5</v>
      </c>
      <c r="D38" s="558">
        <v>31</v>
      </c>
      <c r="E38" s="286"/>
      <c r="F38" s="286"/>
      <c r="G38" s="282">
        <f t="shared" si="5"/>
        <v>206832</v>
      </c>
      <c r="H38" s="283">
        <f>HLOOKUP($C38,'1'!$D$35:$O$38,3,FALSE)</f>
        <v>0.8</v>
      </c>
      <c r="I38" s="284">
        <f>HLOOKUP($C38,'1'!$D$35:$O$38,4,FALSE)</f>
        <v>0.98</v>
      </c>
      <c r="J38" s="282">
        <f>'1'!$E$42*D38*24</f>
        <v>206832</v>
      </c>
      <c r="K38" s="277">
        <f>(J38*'1'!$E$43)</f>
        <v>8273.2800000000007</v>
      </c>
      <c r="L38" s="277">
        <f t="shared" si="0"/>
        <v>3309.3120000000113</v>
      </c>
      <c r="M38" s="277">
        <f t="shared" si="1"/>
        <v>0</v>
      </c>
      <c r="N38" s="277">
        <f t="shared" si="2"/>
        <v>3309.3120000000113</v>
      </c>
    </row>
    <row r="39" spans="2:14">
      <c r="B39" s="281">
        <f t="shared" si="3"/>
        <v>4</v>
      </c>
      <c r="C39" s="281">
        <f t="shared" si="4"/>
        <v>6</v>
      </c>
      <c r="D39" s="558">
        <v>30</v>
      </c>
      <c r="E39" s="286"/>
      <c r="F39" s="286"/>
      <c r="G39" s="282">
        <f t="shared" si="5"/>
        <v>200160</v>
      </c>
      <c r="H39" s="283">
        <f>HLOOKUP($C39,'1'!$D$35:$O$38,3,FALSE)</f>
        <v>0.8</v>
      </c>
      <c r="I39" s="284">
        <f>HLOOKUP($C39,'1'!$D$35:$O$38,4,FALSE)</f>
        <v>0.98</v>
      </c>
      <c r="J39" s="282">
        <f>'1'!$E$42*D39*24</f>
        <v>200160</v>
      </c>
      <c r="K39" s="277">
        <f>(J39*'1'!$E$43)</f>
        <v>8006.4000000000005</v>
      </c>
      <c r="L39" s="277">
        <f t="shared" si="0"/>
        <v>3202.5600000000095</v>
      </c>
      <c r="M39" s="277">
        <f t="shared" si="1"/>
        <v>0</v>
      </c>
      <c r="N39" s="277">
        <f t="shared" si="2"/>
        <v>3202.5600000000095</v>
      </c>
    </row>
    <row r="40" spans="2:14">
      <c r="B40" s="281">
        <f t="shared" si="3"/>
        <v>4</v>
      </c>
      <c r="C40" s="281">
        <f t="shared" si="4"/>
        <v>7</v>
      </c>
      <c r="D40" s="558">
        <v>31</v>
      </c>
      <c r="E40" s="286"/>
      <c r="F40" s="286"/>
      <c r="G40" s="282">
        <f t="shared" si="5"/>
        <v>206832</v>
      </c>
      <c r="H40" s="283">
        <f>HLOOKUP($C40,'1'!$D$35:$O$38,3,FALSE)</f>
        <v>0.8</v>
      </c>
      <c r="I40" s="284">
        <f>HLOOKUP($C40,'1'!$D$35:$O$38,4,FALSE)</f>
        <v>0.98</v>
      </c>
      <c r="J40" s="282">
        <f>'1'!$E$42*D40*24</f>
        <v>206832</v>
      </c>
      <c r="K40" s="277">
        <f>(J40*'1'!$E$43)</f>
        <v>8273.2800000000007</v>
      </c>
      <c r="L40" s="277">
        <f t="shared" si="0"/>
        <v>3309.3120000000113</v>
      </c>
      <c r="M40" s="277">
        <f t="shared" si="1"/>
        <v>0</v>
      </c>
      <c r="N40" s="277">
        <f t="shared" si="2"/>
        <v>3309.3120000000113</v>
      </c>
    </row>
    <row r="41" spans="2:14">
      <c r="B41" s="281">
        <f t="shared" si="3"/>
        <v>4</v>
      </c>
      <c r="C41" s="281">
        <f t="shared" si="4"/>
        <v>8</v>
      </c>
      <c r="D41" s="558">
        <v>31</v>
      </c>
      <c r="E41" s="286"/>
      <c r="F41" s="286"/>
      <c r="G41" s="282">
        <f t="shared" si="5"/>
        <v>206832</v>
      </c>
      <c r="H41" s="283">
        <f>HLOOKUP($C41,'1'!$D$35:$O$38,3,FALSE)</f>
        <v>0.8</v>
      </c>
      <c r="I41" s="284">
        <f>HLOOKUP($C41,'1'!$D$35:$O$38,4,FALSE)</f>
        <v>0.98</v>
      </c>
      <c r="J41" s="282">
        <f>'1'!$E$42*D41*24</f>
        <v>206832</v>
      </c>
      <c r="K41" s="277">
        <f>(J41*'1'!$E$43)</f>
        <v>8273.2800000000007</v>
      </c>
      <c r="L41" s="277">
        <f t="shared" si="0"/>
        <v>3309.3120000000113</v>
      </c>
      <c r="M41" s="277">
        <f t="shared" si="1"/>
        <v>0</v>
      </c>
      <c r="N41" s="277">
        <f t="shared" si="2"/>
        <v>3309.3120000000113</v>
      </c>
    </row>
    <row r="42" spans="2:14">
      <c r="B42" s="281">
        <f t="shared" si="3"/>
        <v>4</v>
      </c>
      <c r="C42" s="281">
        <f t="shared" si="4"/>
        <v>9</v>
      </c>
      <c r="D42" s="558">
        <v>30</v>
      </c>
      <c r="E42" s="286"/>
      <c r="F42" s="286"/>
      <c r="G42" s="282">
        <f t="shared" si="5"/>
        <v>200160</v>
      </c>
      <c r="H42" s="283">
        <f>HLOOKUP($C42,'1'!$D$35:$O$38,3,FALSE)</f>
        <v>1.2</v>
      </c>
      <c r="I42" s="284">
        <f>HLOOKUP($C42,'1'!$D$35:$O$38,4,FALSE)</f>
        <v>0.98</v>
      </c>
      <c r="J42" s="282">
        <f>'1'!$E$42*D42*24</f>
        <v>200160</v>
      </c>
      <c r="K42" s="277">
        <f>(J42*'1'!$E$43)</f>
        <v>8006.4000000000005</v>
      </c>
      <c r="L42" s="277">
        <f t="shared" si="0"/>
        <v>4803.8400000000138</v>
      </c>
      <c r="M42" s="277">
        <f t="shared" si="1"/>
        <v>0</v>
      </c>
      <c r="N42" s="277">
        <f t="shared" si="2"/>
        <v>4803.8400000000138</v>
      </c>
    </row>
    <row r="43" spans="2:14">
      <c r="B43" s="281">
        <f t="shared" si="3"/>
        <v>4</v>
      </c>
      <c r="C43" s="281">
        <f t="shared" si="4"/>
        <v>10</v>
      </c>
      <c r="D43" s="558">
        <v>31</v>
      </c>
      <c r="E43" s="286"/>
      <c r="F43" s="286"/>
      <c r="G43" s="282">
        <f t="shared" si="5"/>
        <v>206832</v>
      </c>
      <c r="H43" s="283">
        <f>HLOOKUP($C43,'1'!$D$35:$O$38,3,FALSE)</f>
        <v>1.2</v>
      </c>
      <c r="I43" s="284">
        <f>HLOOKUP($C43,'1'!$D$35:$O$38,4,FALSE)</f>
        <v>0.98</v>
      </c>
      <c r="J43" s="282">
        <f>'1'!$E$42*D43*24</f>
        <v>206832</v>
      </c>
      <c r="K43" s="277">
        <f>(J43*'1'!$E$43)</f>
        <v>8273.2800000000007</v>
      </c>
      <c r="L43" s="277">
        <f t="shared" si="0"/>
        <v>4963.9680000000162</v>
      </c>
      <c r="M43" s="277">
        <f t="shared" si="1"/>
        <v>0</v>
      </c>
      <c r="N43" s="277">
        <f t="shared" si="2"/>
        <v>4963.9680000000162</v>
      </c>
    </row>
    <row r="44" spans="2:14">
      <c r="B44" s="281">
        <f t="shared" si="3"/>
        <v>4</v>
      </c>
      <c r="C44" s="281">
        <f t="shared" si="4"/>
        <v>11</v>
      </c>
      <c r="D44" s="558">
        <v>30</v>
      </c>
      <c r="E44" s="286"/>
      <c r="F44" s="286"/>
      <c r="G44" s="282">
        <f t="shared" si="5"/>
        <v>200160</v>
      </c>
      <c r="H44" s="283">
        <f>HLOOKUP($C44,'1'!$D$35:$O$38,3,FALSE)</f>
        <v>1.2</v>
      </c>
      <c r="I44" s="284">
        <f>HLOOKUP($C44,'1'!$D$35:$O$38,4,FALSE)</f>
        <v>0.98</v>
      </c>
      <c r="J44" s="282">
        <f>'1'!$E$42*D44*24</f>
        <v>200160</v>
      </c>
      <c r="K44" s="277">
        <f>(J44*'1'!$E$43)</f>
        <v>8006.4000000000005</v>
      </c>
      <c r="L44" s="277">
        <f t="shared" si="0"/>
        <v>4803.8400000000138</v>
      </c>
      <c r="M44" s="277">
        <f t="shared" si="1"/>
        <v>0</v>
      </c>
      <c r="N44" s="277">
        <f t="shared" si="2"/>
        <v>4803.8400000000138</v>
      </c>
    </row>
    <row r="45" spans="2:14">
      <c r="B45" s="281">
        <f t="shared" si="3"/>
        <v>4</v>
      </c>
      <c r="C45" s="281">
        <f t="shared" si="4"/>
        <v>12</v>
      </c>
      <c r="D45" s="558">
        <v>31</v>
      </c>
      <c r="E45" s="286"/>
      <c r="F45" s="286"/>
      <c r="G45" s="282">
        <f t="shared" si="5"/>
        <v>206832</v>
      </c>
      <c r="H45" s="283">
        <f>HLOOKUP($C45,'1'!$D$35:$O$38,3,FALSE)</f>
        <v>1.2</v>
      </c>
      <c r="I45" s="284">
        <f>HLOOKUP($C45,'1'!$D$35:$O$38,4,FALSE)</f>
        <v>0.98</v>
      </c>
      <c r="J45" s="282">
        <f>'1'!$E$42*D45*24</f>
        <v>206832</v>
      </c>
      <c r="K45" s="277">
        <f>(J45*'1'!$E$43)</f>
        <v>8273.2800000000007</v>
      </c>
      <c r="L45" s="277">
        <f t="shared" si="0"/>
        <v>4963.9680000000162</v>
      </c>
      <c r="M45" s="277">
        <f t="shared" si="1"/>
        <v>0</v>
      </c>
      <c r="N45" s="277">
        <f t="shared" si="2"/>
        <v>4963.9680000000162</v>
      </c>
    </row>
    <row r="46" spans="2:14">
      <c r="B46" s="281">
        <f t="shared" si="3"/>
        <v>5</v>
      </c>
      <c r="C46" s="281">
        <f t="shared" si="4"/>
        <v>1</v>
      </c>
      <c r="D46" s="558">
        <v>31</v>
      </c>
      <c r="E46" s="286"/>
      <c r="F46" s="286"/>
      <c r="G46" s="282">
        <f t="shared" si="5"/>
        <v>206832</v>
      </c>
      <c r="H46" s="283">
        <f>HLOOKUP($C46,'1'!$D$35:$O$38,3,FALSE)</f>
        <v>1.2</v>
      </c>
      <c r="I46" s="284">
        <f>HLOOKUP($C46,'1'!$D$35:$O$38,4,FALSE)</f>
        <v>0.98</v>
      </c>
      <c r="J46" s="282">
        <f>'1'!$E$42*D46*24</f>
        <v>206832</v>
      </c>
      <c r="K46" s="277">
        <f>(J46*'1'!$E$43)</f>
        <v>8273.2800000000007</v>
      </c>
      <c r="L46" s="277">
        <f t="shared" si="0"/>
        <v>4963.9680000000162</v>
      </c>
      <c r="M46" s="277">
        <f t="shared" si="1"/>
        <v>0</v>
      </c>
      <c r="N46" s="277">
        <f t="shared" si="2"/>
        <v>4963.9680000000162</v>
      </c>
    </row>
    <row r="47" spans="2:14">
      <c r="B47" s="281">
        <f t="shared" si="3"/>
        <v>5</v>
      </c>
      <c r="C47" s="281">
        <f t="shared" si="4"/>
        <v>2</v>
      </c>
      <c r="D47" s="558">
        <v>28.25</v>
      </c>
      <c r="E47" s="286"/>
      <c r="F47" s="286"/>
      <c r="G47" s="282">
        <f t="shared" si="5"/>
        <v>188484</v>
      </c>
      <c r="H47" s="283">
        <f>HLOOKUP($C47,'1'!$D$35:$O$38,3,FALSE)</f>
        <v>1.2</v>
      </c>
      <c r="I47" s="284">
        <f>HLOOKUP($C47,'1'!$D$35:$O$38,4,FALSE)</f>
        <v>0.98</v>
      </c>
      <c r="J47" s="282">
        <f>'1'!$E$42*D47*24</f>
        <v>188484</v>
      </c>
      <c r="K47" s="277">
        <f>(J47*'1'!$E$43)</f>
        <v>7539.3600000000006</v>
      </c>
      <c r="L47" s="277">
        <f t="shared" si="0"/>
        <v>4523.6159999999918</v>
      </c>
      <c r="M47" s="277">
        <f t="shared" si="1"/>
        <v>0</v>
      </c>
      <c r="N47" s="277">
        <f t="shared" si="2"/>
        <v>4523.6159999999918</v>
      </c>
    </row>
    <row r="48" spans="2:14">
      <c r="B48" s="281">
        <f t="shared" si="3"/>
        <v>5</v>
      </c>
      <c r="C48" s="281">
        <f t="shared" si="4"/>
        <v>3</v>
      </c>
      <c r="D48" s="558">
        <v>31</v>
      </c>
      <c r="E48" s="286"/>
      <c r="F48" s="286"/>
      <c r="G48" s="282">
        <f t="shared" si="5"/>
        <v>206832</v>
      </c>
      <c r="H48" s="283">
        <f>HLOOKUP($C48,'1'!$D$35:$O$38,3,FALSE)</f>
        <v>0.8</v>
      </c>
      <c r="I48" s="284">
        <f>HLOOKUP($C48,'1'!$D$35:$O$38,4,FALSE)</f>
        <v>0.98</v>
      </c>
      <c r="J48" s="282">
        <f>'1'!$E$42*D48*24</f>
        <v>206832</v>
      </c>
      <c r="K48" s="277">
        <f>(J48*'1'!$E$43)</f>
        <v>8273.2800000000007</v>
      </c>
      <c r="L48" s="277">
        <f t="shared" si="0"/>
        <v>3309.3120000000113</v>
      </c>
      <c r="M48" s="277">
        <f t="shared" si="1"/>
        <v>0</v>
      </c>
      <c r="N48" s="277">
        <f t="shared" si="2"/>
        <v>3309.3120000000113</v>
      </c>
    </row>
    <row r="49" spans="2:14">
      <c r="B49" s="281">
        <f t="shared" si="3"/>
        <v>5</v>
      </c>
      <c r="C49" s="281">
        <f t="shared" si="4"/>
        <v>4</v>
      </c>
      <c r="D49" s="558">
        <v>30</v>
      </c>
      <c r="E49" s="286"/>
      <c r="F49" s="286"/>
      <c r="G49" s="282">
        <f t="shared" si="5"/>
        <v>200160</v>
      </c>
      <c r="H49" s="283">
        <f>HLOOKUP($C49,'1'!$D$35:$O$38,3,FALSE)</f>
        <v>0.8</v>
      </c>
      <c r="I49" s="284">
        <f>HLOOKUP($C49,'1'!$D$35:$O$38,4,FALSE)</f>
        <v>0.98</v>
      </c>
      <c r="J49" s="282">
        <f>'1'!$E$42*D49*24</f>
        <v>200160</v>
      </c>
      <c r="K49" s="277">
        <f>(J49*'1'!$E$43)</f>
        <v>8006.4000000000005</v>
      </c>
      <c r="L49" s="277">
        <f t="shared" si="0"/>
        <v>3202.5600000000095</v>
      </c>
      <c r="M49" s="277">
        <f t="shared" si="1"/>
        <v>0</v>
      </c>
      <c r="N49" s="277">
        <f t="shared" si="2"/>
        <v>3202.5600000000095</v>
      </c>
    </row>
    <row r="50" spans="2:14">
      <c r="B50" s="281">
        <f t="shared" si="3"/>
        <v>5</v>
      </c>
      <c r="C50" s="281">
        <f t="shared" si="4"/>
        <v>5</v>
      </c>
      <c r="D50" s="558">
        <v>31</v>
      </c>
      <c r="E50" s="286"/>
      <c r="F50" s="286"/>
      <c r="G50" s="282">
        <f t="shared" si="5"/>
        <v>206832</v>
      </c>
      <c r="H50" s="283">
        <f>HLOOKUP($C50,'1'!$D$35:$O$38,3,FALSE)</f>
        <v>0.8</v>
      </c>
      <c r="I50" s="284">
        <f>HLOOKUP($C50,'1'!$D$35:$O$38,4,FALSE)</f>
        <v>0.98</v>
      </c>
      <c r="J50" s="282">
        <f>'1'!$E$42*D50*24</f>
        <v>206832</v>
      </c>
      <c r="K50" s="277">
        <f>(J50*'1'!$E$43)</f>
        <v>8273.2800000000007</v>
      </c>
      <c r="L50" s="277">
        <f t="shared" si="0"/>
        <v>3309.3120000000113</v>
      </c>
      <c r="M50" s="277">
        <f t="shared" si="1"/>
        <v>0</v>
      </c>
      <c r="N50" s="277">
        <f t="shared" si="2"/>
        <v>3309.3120000000113</v>
      </c>
    </row>
    <row r="51" spans="2:14">
      <c r="B51" s="281">
        <f t="shared" si="3"/>
        <v>5</v>
      </c>
      <c r="C51" s="281">
        <f t="shared" si="4"/>
        <v>6</v>
      </c>
      <c r="D51" s="558">
        <v>30</v>
      </c>
      <c r="E51" s="286"/>
      <c r="F51" s="286"/>
      <c r="G51" s="282">
        <f t="shared" si="5"/>
        <v>200160</v>
      </c>
      <c r="H51" s="283">
        <f>HLOOKUP($C51,'1'!$D$35:$O$38,3,FALSE)</f>
        <v>0.8</v>
      </c>
      <c r="I51" s="284">
        <f>HLOOKUP($C51,'1'!$D$35:$O$38,4,FALSE)</f>
        <v>0.98</v>
      </c>
      <c r="J51" s="282">
        <f>'1'!$E$42*D51*24</f>
        <v>200160</v>
      </c>
      <c r="K51" s="277">
        <f>(J51*'1'!$E$43)</f>
        <v>8006.4000000000005</v>
      </c>
      <c r="L51" s="277">
        <f t="shared" si="0"/>
        <v>3202.5600000000095</v>
      </c>
      <c r="M51" s="277">
        <f t="shared" si="1"/>
        <v>0</v>
      </c>
      <c r="N51" s="277">
        <f t="shared" si="2"/>
        <v>3202.5600000000095</v>
      </c>
    </row>
    <row r="52" spans="2:14">
      <c r="B52" s="281">
        <f t="shared" si="3"/>
        <v>5</v>
      </c>
      <c r="C52" s="281">
        <f t="shared" si="4"/>
        <v>7</v>
      </c>
      <c r="D52" s="558">
        <v>31</v>
      </c>
      <c r="E52" s="286"/>
      <c r="F52" s="286"/>
      <c r="G52" s="282">
        <f t="shared" si="5"/>
        <v>206832</v>
      </c>
      <c r="H52" s="283">
        <f>HLOOKUP($C52,'1'!$D$35:$O$38,3,FALSE)</f>
        <v>0.8</v>
      </c>
      <c r="I52" s="284">
        <f>HLOOKUP($C52,'1'!$D$35:$O$38,4,FALSE)</f>
        <v>0.98</v>
      </c>
      <c r="J52" s="282">
        <f>'1'!$E$42*D52*24</f>
        <v>206832</v>
      </c>
      <c r="K52" s="277">
        <f>(J52*'1'!$E$43)</f>
        <v>8273.2800000000007</v>
      </c>
      <c r="L52" s="277">
        <f t="shared" si="0"/>
        <v>3309.3120000000113</v>
      </c>
      <c r="M52" s="277">
        <f t="shared" si="1"/>
        <v>0</v>
      </c>
      <c r="N52" s="277">
        <f t="shared" si="2"/>
        <v>3309.3120000000113</v>
      </c>
    </row>
    <row r="53" spans="2:14">
      <c r="B53" s="281">
        <f t="shared" si="3"/>
        <v>5</v>
      </c>
      <c r="C53" s="281">
        <f t="shared" si="4"/>
        <v>8</v>
      </c>
      <c r="D53" s="558">
        <v>31</v>
      </c>
      <c r="E53" s="286"/>
      <c r="F53" s="286"/>
      <c r="G53" s="282">
        <f t="shared" si="5"/>
        <v>206832</v>
      </c>
      <c r="H53" s="283">
        <f>HLOOKUP($C53,'1'!$D$35:$O$38,3,FALSE)</f>
        <v>0.8</v>
      </c>
      <c r="I53" s="284">
        <f>HLOOKUP($C53,'1'!$D$35:$O$38,4,FALSE)</f>
        <v>0.98</v>
      </c>
      <c r="J53" s="282">
        <f>'1'!$E$42*D53*24</f>
        <v>206832</v>
      </c>
      <c r="K53" s="277">
        <f>(J53*'1'!$E$43)</f>
        <v>8273.2800000000007</v>
      </c>
      <c r="L53" s="277">
        <f t="shared" si="0"/>
        <v>3309.3120000000113</v>
      </c>
      <c r="M53" s="277">
        <f t="shared" si="1"/>
        <v>0</v>
      </c>
      <c r="N53" s="277">
        <f t="shared" si="2"/>
        <v>3309.3120000000113</v>
      </c>
    </row>
    <row r="54" spans="2:14">
      <c r="B54" s="281">
        <f t="shared" si="3"/>
        <v>5</v>
      </c>
      <c r="C54" s="281">
        <f t="shared" si="4"/>
        <v>9</v>
      </c>
      <c r="D54" s="558">
        <v>30</v>
      </c>
      <c r="E54" s="286"/>
      <c r="F54" s="286"/>
      <c r="G54" s="282">
        <f t="shared" si="5"/>
        <v>200160</v>
      </c>
      <c r="H54" s="283">
        <f>HLOOKUP($C54,'1'!$D$35:$O$38,3,FALSE)</f>
        <v>1.2</v>
      </c>
      <c r="I54" s="284">
        <f>HLOOKUP($C54,'1'!$D$35:$O$38,4,FALSE)</f>
        <v>0.98</v>
      </c>
      <c r="J54" s="282">
        <f>'1'!$E$42*D54*24</f>
        <v>200160</v>
      </c>
      <c r="K54" s="277">
        <f>(J54*'1'!$E$43)</f>
        <v>8006.4000000000005</v>
      </c>
      <c r="L54" s="277">
        <f t="shared" si="0"/>
        <v>4803.8400000000138</v>
      </c>
      <c r="M54" s="277">
        <f t="shared" si="1"/>
        <v>0</v>
      </c>
      <c r="N54" s="277">
        <f t="shared" si="2"/>
        <v>4803.8400000000138</v>
      </c>
    </row>
    <row r="55" spans="2:14">
      <c r="B55" s="281">
        <f t="shared" si="3"/>
        <v>5</v>
      </c>
      <c r="C55" s="281">
        <f t="shared" si="4"/>
        <v>10</v>
      </c>
      <c r="D55" s="558">
        <v>31</v>
      </c>
      <c r="E55" s="286"/>
      <c r="F55" s="286"/>
      <c r="G55" s="282">
        <f t="shared" si="5"/>
        <v>206832</v>
      </c>
      <c r="H55" s="283">
        <f>HLOOKUP($C55,'1'!$D$35:$O$38,3,FALSE)</f>
        <v>1.2</v>
      </c>
      <c r="I55" s="284">
        <f>HLOOKUP($C55,'1'!$D$35:$O$38,4,FALSE)</f>
        <v>0.98</v>
      </c>
      <c r="J55" s="282">
        <f>'1'!$E$42*D55*24</f>
        <v>206832</v>
      </c>
      <c r="K55" s="277">
        <f>(J55*'1'!$E$43)</f>
        <v>8273.2800000000007</v>
      </c>
      <c r="L55" s="277">
        <f t="shared" si="0"/>
        <v>4963.9680000000162</v>
      </c>
      <c r="M55" s="277">
        <f t="shared" si="1"/>
        <v>0</v>
      </c>
      <c r="N55" s="277">
        <f t="shared" si="2"/>
        <v>4963.9680000000162</v>
      </c>
    </row>
    <row r="56" spans="2:14">
      <c r="B56" s="281">
        <f t="shared" si="3"/>
        <v>5</v>
      </c>
      <c r="C56" s="281">
        <f t="shared" si="4"/>
        <v>11</v>
      </c>
      <c r="D56" s="558">
        <v>30</v>
      </c>
      <c r="E56" s="286"/>
      <c r="F56" s="286"/>
      <c r="G56" s="282">
        <f t="shared" si="5"/>
        <v>200160</v>
      </c>
      <c r="H56" s="283">
        <f>HLOOKUP($C56,'1'!$D$35:$O$38,3,FALSE)</f>
        <v>1.2</v>
      </c>
      <c r="I56" s="284">
        <f>HLOOKUP($C56,'1'!$D$35:$O$38,4,FALSE)</f>
        <v>0.98</v>
      </c>
      <c r="J56" s="282">
        <f>'1'!$E$42*D56*24</f>
        <v>200160</v>
      </c>
      <c r="K56" s="277">
        <f>(J56*'1'!$E$43)</f>
        <v>8006.4000000000005</v>
      </c>
      <c r="L56" s="277">
        <f t="shared" si="0"/>
        <v>4803.8400000000138</v>
      </c>
      <c r="M56" s="277">
        <f t="shared" si="1"/>
        <v>0</v>
      </c>
      <c r="N56" s="277">
        <f t="shared" si="2"/>
        <v>4803.8400000000138</v>
      </c>
    </row>
    <row r="57" spans="2:14">
      <c r="B57" s="281">
        <f t="shared" si="3"/>
        <v>5</v>
      </c>
      <c r="C57" s="281">
        <f t="shared" si="4"/>
        <v>12</v>
      </c>
      <c r="D57" s="558">
        <v>31</v>
      </c>
      <c r="E57" s="286"/>
      <c r="F57" s="286"/>
      <c r="G57" s="282">
        <f t="shared" si="5"/>
        <v>206832</v>
      </c>
      <c r="H57" s="283">
        <f>HLOOKUP($C57,'1'!$D$35:$O$38,3,FALSE)</f>
        <v>1.2</v>
      </c>
      <c r="I57" s="284">
        <f>HLOOKUP($C57,'1'!$D$35:$O$38,4,FALSE)</f>
        <v>0.98</v>
      </c>
      <c r="J57" s="282">
        <f>'1'!$E$42*D57*24</f>
        <v>206832</v>
      </c>
      <c r="K57" s="277">
        <f>(J57*'1'!$E$43)</f>
        <v>8273.2800000000007</v>
      </c>
      <c r="L57" s="277">
        <f t="shared" si="0"/>
        <v>4963.9680000000162</v>
      </c>
      <c r="M57" s="277">
        <f t="shared" si="1"/>
        <v>0</v>
      </c>
      <c r="N57" s="277">
        <f t="shared" si="2"/>
        <v>4963.9680000000162</v>
      </c>
    </row>
    <row r="58" spans="2:14">
      <c r="B58" s="281">
        <f t="shared" si="3"/>
        <v>6</v>
      </c>
      <c r="C58" s="281">
        <f t="shared" si="4"/>
        <v>1</v>
      </c>
      <c r="D58" s="558">
        <v>31</v>
      </c>
      <c r="E58" s="286"/>
      <c r="F58" s="286"/>
      <c r="G58" s="282">
        <f t="shared" si="5"/>
        <v>206832</v>
      </c>
      <c r="H58" s="283">
        <f>HLOOKUP($C58,'1'!$D$35:$O$38,3,FALSE)</f>
        <v>1.2</v>
      </c>
      <c r="I58" s="284">
        <f>HLOOKUP($C58,'1'!$D$35:$O$38,4,FALSE)</f>
        <v>0.98</v>
      </c>
      <c r="J58" s="282">
        <f>'1'!$E$42*D58*24</f>
        <v>206832</v>
      </c>
      <c r="K58" s="277">
        <f>(J58*'1'!$E$43)</f>
        <v>8273.2800000000007</v>
      </c>
      <c r="L58" s="277">
        <f t="shared" si="0"/>
        <v>4963.9680000000162</v>
      </c>
      <c r="M58" s="277">
        <f t="shared" si="1"/>
        <v>0</v>
      </c>
      <c r="N58" s="277">
        <f t="shared" si="2"/>
        <v>4963.9680000000162</v>
      </c>
    </row>
    <row r="59" spans="2:14">
      <c r="B59" s="281">
        <f t="shared" si="3"/>
        <v>6</v>
      </c>
      <c r="C59" s="281">
        <f t="shared" si="4"/>
        <v>2</v>
      </c>
      <c r="D59" s="558">
        <v>28.25</v>
      </c>
      <c r="E59" s="286"/>
      <c r="F59" s="286"/>
      <c r="G59" s="282">
        <f t="shared" si="5"/>
        <v>188484</v>
      </c>
      <c r="H59" s="283">
        <f>HLOOKUP($C59,'1'!$D$35:$O$38,3,FALSE)</f>
        <v>1.2</v>
      </c>
      <c r="I59" s="284">
        <f>HLOOKUP($C59,'1'!$D$35:$O$38,4,FALSE)</f>
        <v>0.98</v>
      </c>
      <c r="J59" s="282">
        <f>'1'!$E$42*D59*24</f>
        <v>188484</v>
      </c>
      <c r="K59" s="277">
        <f>(J59*'1'!$E$43)</f>
        <v>7539.3600000000006</v>
      </c>
      <c r="L59" s="277">
        <f t="shared" si="0"/>
        <v>4523.6159999999918</v>
      </c>
      <c r="M59" s="277">
        <f t="shared" si="1"/>
        <v>0</v>
      </c>
      <c r="N59" s="277">
        <f t="shared" si="2"/>
        <v>4523.6159999999918</v>
      </c>
    </row>
    <row r="60" spans="2:14">
      <c r="B60" s="281">
        <f t="shared" si="3"/>
        <v>6</v>
      </c>
      <c r="C60" s="281">
        <f t="shared" si="4"/>
        <v>3</v>
      </c>
      <c r="D60" s="558">
        <v>31</v>
      </c>
      <c r="E60" s="286"/>
      <c r="F60" s="286"/>
      <c r="G60" s="282">
        <f t="shared" si="5"/>
        <v>206832</v>
      </c>
      <c r="H60" s="283">
        <f>HLOOKUP($C60,'1'!$D$35:$O$38,3,FALSE)</f>
        <v>0.8</v>
      </c>
      <c r="I60" s="284">
        <f>HLOOKUP($C60,'1'!$D$35:$O$38,4,FALSE)</f>
        <v>0.98</v>
      </c>
      <c r="J60" s="282">
        <f>'1'!$E$42*D60*24</f>
        <v>206832</v>
      </c>
      <c r="K60" s="277">
        <f>(J60*'1'!$E$43)</f>
        <v>8273.2800000000007</v>
      </c>
      <c r="L60" s="277">
        <f t="shared" si="0"/>
        <v>3309.3120000000113</v>
      </c>
      <c r="M60" s="277">
        <f t="shared" si="1"/>
        <v>0</v>
      </c>
      <c r="N60" s="277">
        <f t="shared" si="2"/>
        <v>3309.3120000000113</v>
      </c>
    </row>
    <row r="61" spans="2:14">
      <c r="B61" s="281">
        <f t="shared" si="3"/>
        <v>6</v>
      </c>
      <c r="C61" s="281">
        <f t="shared" si="4"/>
        <v>4</v>
      </c>
      <c r="D61" s="558">
        <v>30</v>
      </c>
      <c r="E61" s="286"/>
      <c r="F61" s="286"/>
      <c r="G61" s="282">
        <f t="shared" si="5"/>
        <v>200160</v>
      </c>
      <c r="H61" s="283">
        <f>HLOOKUP($C61,'1'!$D$35:$O$38,3,FALSE)</f>
        <v>0.8</v>
      </c>
      <c r="I61" s="284">
        <f>HLOOKUP($C61,'1'!$D$35:$O$38,4,FALSE)</f>
        <v>0.98</v>
      </c>
      <c r="J61" s="282">
        <f>'1'!$E$42*D61*24</f>
        <v>200160</v>
      </c>
      <c r="K61" s="277">
        <f>(J61*'1'!$E$43)</f>
        <v>8006.4000000000005</v>
      </c>
      <c r="L61" s="277">
        <f t="shared" si="0"/>
        <v>3202.5600000000095</v>
      </c>
      <c r="M61" s="277">
        <f t="shared" si="1"/>
        <v>0</v>
      </c>
      <c r="N61" s="277">
        <f t="shared" si="2"/>
        <v>3202.5600000000095</v>
      </c>
    </row>
    <row r="62" spans="2:14">
      <c r="B62" s="281">
        <f t="shared" si="3"/>
        <v>6</v>
      </c>
      <c r="C62" s="281">
        <f t="shared" si="4"/>
        <v>5</v>
      </c>
      <c r="D62" s="558">
        <v>31</v>
      </c>
      <c r="E62" s="286"/>
      <c r="F62" s="286"/>
      <c r="G62" s="282">
        <f t="shared" si="5"/>
        <v>206832</v>
      </c>
      <c r="H62" s="283">
        <f>HLOOKUP($C62,'1'!$D$35:$O$38,3,FALSE)</f>
        <v>0.8</v>
      </c>
      <c r="I62" s="284">
        <f>HLOOKUP($C62,'1'!$D$35:$O$38,4,FALSE)</f>
        <v>0.98</v>
      </c>
      <c r="J62" s="282">
        <f>'1'!$E$42*D62*24</f>
        <v>206832</v>
      </c>
      <c r="K62" s="277">
        <f>(J62*'1'!$E$43)</f>
        <v>8273.2800000000007</v>
      </c>
      <c r="L62" s="277">
        <f t="shared" si="0"/>
        <v>3309.3120000000113</v>
      </c>
      <c r="M62" s="277">
        <f t="shared" si="1"/>
        <v>0</v>
      </c>
      <c r="N62" s="277">
        <f t="shared" si="2"/>
        <v>3309.3120000000113</v>
      </c>
    </row>
    <row r="63" spans="2:14">
      <c r="B63" s="281">
        <f t="shared" si="3"/>
        <v>6</v>
      </c>
      <c r="C63" s="281">
        <f t="shared" si="4"/>
        <v>6</v>
      </c>
      <c r="D63" s="558">
        <v>30</v>
      </c>
      <c r="E63" s="286"/>
      <c r="F63" s="286"/>
      <c r="G63" s="282">
        <f t="shared" si="5"/>
        <v>200160</v>
      </c>
      <c r="H63" s="283">
        <f>HLOOKUP($C63,'1'!$D$35:$O$38,3,FALSE)</f>
        <v>0.8</v>
      </c>
      <c r="I63" s="284">
        <f>HLOOKUP($C63,'1'!$D$35:$O$38,4,FALSE)</f>
        <v>0.98</v>
      </c>
      <c r="J63" s="282">
        <f>'1'!$E$42*D63*24</f>
        <v>200160</v>
      </c>
      <c r="K63" s="277">
        <f>(J63*'1'!$E$43)</f>
        <v>8006.4000000000005</v>
      </c>
      <c r="L63" s="277">
        <f t="shared" si="0"/>
        <v>3202.5600000000095</v>
      </c>
      <c r="M63" s="277">
        <f t="shared" si="1"/>
        <v>0</v>
      </c>
      <c r="N63" s="277">
        <f t="shared" si="2"/>
        <v>3202.5600000000095</v>
      </c>
    </row>
    <row r="64" spans="2:14">
      <c r="B64" s="281">
        <f t="shared" si="3"/>
        <v>6</v>
      </c>
      <c r="C64" s="281">
        <f t="shared" si="4"/>
        <v>7</v>
      </c>
      <c r="D64" s="558">
        <v>31</v>
      </c>
      <c r="E64" s="286"/>
      <c r="F64" s="286"/>
      <c r="G64" s="282">
        <f t="shared" si="5"/>
        <v>206832</v>
      </c>
      <c r="H64" s="283">
        <f>HLOOKUP($C64,'1'!$D$35:$O$38,3,FALSE)</f>
        <v>0.8</v>
      </c>
      <c r="I64" s="284">
        <f>HLOOKUP($C64,'1'!$D$35:$O$38,4,FALSE)</f>
        <v>0.98</v>
      </c>
      <c r="J64" s="282">
        <f>'1'!$E$42*D64*24</f>
        <v>206832</v>
      </c>
      <c r="K64" s="277">
        <f>(J64*'1'!$E$43)</f>
        <v>8273.2800000000007</v>
      </c>
      <c r="L64" s="277">
        <f t="shared" si="0"/>
        <v>3309.3120000000113</v>
      </c>
      <c r="M64" s="277">
        <f t="shared" si="1"/>
        <v>0</v>
      </c>
      <c r="N64" s="277">
        <f t="shared" si="2"/>
        <v>3309.3120000000113</v>
      </c>
    </row>
    <row r="65" spans="2:14">
      <c r="B65" s="281">
        <f t="shared" si="3"/>
        <v>6</v>
      </c>
      <c r="C65" s="281">
        <f t="shared" si="4"/>
        <v>8</v>
      </c>
      <c r="D65" s="558">
        <v>31</v>
      </c>
      <c r="E65" s="286"/>
      <c r="F65" s="286"/>
      <c r="G65" s="282">
        <f t="shared" si="5"/>
        <v>206832</v>
      </c>
      <c r="H65" s="283">
        <f>HLOOKUP($C65,'1'!$D$35:$O$38,3,FALSE)</f>
        <v>0.8</v>
      </c>
      <c r="I65" s="284">
        <f>HLOOKUP($C65,'1'!$D$35:$O$38,4,FALSE)</f>
        <v>0.98</v>
      </c>
      <c r="J65" s="282">
        <f>'1'!$E$42*D65*24</f>
        <v>206832</v>
      </c>
      <c r="K65" s="277">
        <f>(J65*'1'!$E$43)</f>
        <v>8273.2800000000007</v>
      </c>
      <c r="L65" s="277">
        <f t="shared" si="0"/>
        <v>3309.3120000000113</v>
      </c>
      <c r="M65" s="277">
        <f t="shared" si="1"/>
        <v>0</v>
      </c>
      <c r="N65" s="277">
        <f t="shared" si="2"/>
        <v>3309.3120000000113</v>
      </c>
    </row>
    <row r="66" spans="2:14">
      <c r="B66" s="281">
        <f t="shared" si="3"/>
        <v>6</v>
      </c>
      <c r="C66" s="281">
        <f t="shared" si="4"/>
        <v>9</v>
      </c>
      <c r="D66" s="558">
        <v>30</v>
      </c>
      <c r="E66" s="286"/>
      <c r="F66" s="286"/>
      <c r="G66" s="282">
        <f t="shared" si="5"/>
        <v>200160</v>
      </c>
      <c r="H66" s="283">
        <f>HLOOKUP($C66,'1'!$D$35:$O$38,3,FALSE)</f>
        <v>1.2</v>
      </c>
      <c r="I66" s="284">
        <f>HLOOKUP($C66,'1'!$D$35:$O$38,4,FALSE)</f>
        <v>0.98</v>
      </c>
      <c r="J66" s="282">
        <f>'1'!$E$42*D66*24</f>
        <v>200160</v>
      </c>
      <c r="K66" s="277">
        <f>(J66*'1'!$E$43)</f>
        <v>8006.4000000000005</v>
      </c>
      <c r="L66" s="277">
        <f t="shared" si="0"/>
        <v>4803.8400000000138</v>
      </c>
      <c r="M66" s="277">
        <f t="shared" si="1"/>
        <v>0</v>
      </c>
      <c r="N66" s="277">
        <f t="shared" si="2"/>
        <v>4803.8400000000138</v>
      </c>
    </row>
    <row r="67" spans="2:14">
      <c r="B67" s="281">
        <f t="shared" si="3"/>
        <v>6</v>
      </c>
      <c r="C67" s="281">
        <f t="shared" si="4"/>
        <v>10</v>
      </c>
      <c r="D67" s="558">
        <v>31</v>
      </c>
      <c r="E67" s="286"/>
      <c r="F67" s="286"/>
      <c r="G67" s="282">
        <f t="shared" si="5"/>
        <v>206832</v>
      </c>
      <c r="H67" s="283">
        <f>HLOOKUP($C67,'1'!$D$35:$O$38,3,FALSE)</f>
        <v>1.2</v>
      </c>
      <c r="I67" s="284">
        <f>HLOOKUP($C67,'1'!$D$35:$O$38,4,FALSE)</f>
        <v>0.98</v>
      </c>
      <c r="J67" s="282">
        <f>'1'!$E$42*D67*24</f>
        <v>206832</v>
      </c>
      <c r="K67" s="277">
        <f>(J67*'1'!$E$43)</f>
        <v>8273.2800000000007</v>
      </c>
      <c r="L67" s="277">
        <f t="shared" si="0"/>
        <v>4963.9680000000162</v>
      </c>
      <c r="M67" s="277">
        <f t="shared" si="1"/>
        <v>0</v>
      </c>
      <c r="N67" s="277">
        <f t="shared" si="2"/>
        <v>4963.9680000000162</v>
      </c>
    </row>
    <row r="68" spans="2:14">
      <c r="B68" s="281">
        <f t="shared" si="3"/>
        <v>6</v>
      </c>
      <c r="C68" s="281">
        <f t="shared" si="4"/>
        <v>11</v>
      </c>
      <c r="D68" s="558">
        <v>30</v>
      </c>
      <c r="E68" s="286"/>
      <c r="F68" s="286"/>
      <c r="G68" s="282">
        <f t="shared" si="5"/>
        <v>200160</v>
      </c>
      <c r="H68" s="283">
        <f>HLOOKUP($C68,'1'!$D$35:$O$38,3,FALSE)</f>
        <v>1.2</v>
      </c>
      <c r="I68" s="284">
        <f>HLOOKUP($C68,'1'!$D$35:$O$38,4,FALSE)</f>
        <v>0.98</v>
      </c>
      <c r="J68" s="282">
        <f>'1'!$E$42*D68*24</f>
        <v>200160</v>
      </c>
      <c r="K68" s="277">
        <f>(J68*'1'!$E$43)</f>
        <v>8006.4000000000005</v>
      </c>
      <c r="L68" s="277">
        <f t="shared" si="0"/>
        <v>4803.8400000000138</v>
      </c>
      <c r="M68" s="277">
        <f t="shared" si="1"/>
        <v>0</v>
      </c>
      <c r="N68" s="277">
        <f t="shared" si="2"/>
        <v>4803.8400000000138</v>
      </c>
    </row>
    <row r="69" spans="2:14">
      <c r="B69" s="281">
        <f t="shared" si="3"/>
        <v>6</v>
      </c>
      <c r="C69" s="281">
        <f t="shared" si="4"/>
        <v>12</v>
      </c>
      <c r="D69" s="558">
        <v>31</v>
      </c>
      <c r="E69" s="286"/>
      <c r="F69" s="286"/>
      <c r="G69" s="282">
        <f t="shared" si="5"/>
        <v>206832</v>
      </c>
      <c r="H69" s="283">
        <f>HLOOKUP($C69,'1'!$D$35:$O$38,3,FALSE)</f>
        <v>1.2</v>
      </c>
      <c r="I69" s="284">
        <f>HLOOKUP($C69,'1'!$D$35:$O$38,4,FALSE)</f>
        <v>0.98</v>
      </c>
      <c r="J69" s="282">
        <f>'1'!$E$42*D69*24</f>
        <v>206832</v>
      </c>
      <c r="K69" s="277">
        <f>(J69*'1'!$E$43)</f>
        <v>8273.2800000000007</v>
      </c>
      <c r="L69" s="277">
        <f t="shared" si="0"/>
        <v>4963.9680000000162</v>
      </c>
      <c r="M69" s="277">
        <f t="shared" si="1"/>
        <v>0</v>
      </c>
      <c r="N69" s="277">
        <f t="shared" si="2"/>
        <v>4963.9680000000162</v>
      </c>
    </row>
    <row r="70" spans="2:14">
      <c r="B70" s="281">
        <f t="shared" si="3"/>
        <v>7</v>
      </c>
      <c r="C70" s="281">
        <f t="shared" si="4"/>
        <v>1</v>
      </c>
      <c r="D70" s="558">
        <v>31</v>
      </c>
      <c r="E70" s="286"/>
      <c r="F70" s="286"/>
      <c r="G70" s="282">
        <f t="shared" si="5"/>
        <v>206832</v>
      </c>
      <c r="H70" s="283">
        <f>HLOOKUP($C70,'1'!$D$35:$O$38,3,FALSE)</f>
        <v>1.2</v>
      </c>
      <c r="I70" s="284">
        <f>HLOOKUP($C70,'1'!$D$35:$O$38,4,FALSE)</f>
        <v>0.98</v>
      </c>
      <c r="J70" s="282">
        <f>'1'!$E$42*D70*24</f>
        <v>206832</v>
      </c>
      <c r="K70" s="277">
        <f>(J70*'1'!$E$43)</f>
        <v>8273.2800000000007</v>
      </c>
      <c r="L70" s="277">
        <f t="shared" si="0"/>
        <v>4963.9680000000162</v>
      </c>
      <c r="M70" s="277">
        <f t="shared" si="1"/>
        <v>0</v>
      </c>
      <c r="N70" s="277">
        <f t="shared" si="2"/>
        <v>4963.9680000000162</v>
      </c>
    </row>
    <row r="71" spans="2:14">
      <c r="B71" s="281">
        <f t="shared" si="3"/>
        <v>7</v>
      </c>
      <c r="C71" s="281">
        <f t="shared" si="4"/>
        <v>2</v>
      </c>
      <c r="D71" s="558">
        <v>28.25</v>
      </c>
      <c r="E71" s="286"/>
      <c r="F71" s="286"/>
      <c r="G71" s="282">
        <f t="shared" si="5"/>
        <v>188484</v>
      </c>
      <c r="H71" s="283">
        <f>HLOOKUP($C71,'1'!$D$35:$O$38,3,FALSE)</f>
        <v>1.2</v>
      </c>
      <c r="I71" s="284">
        <f>HLOOKUP($C71,'1'!$D$35:$O$38,4,FALSE)</f>
        <v>0.98</v>
      </c>
      <c r="J71" s="282">
        <f>'1'!$E$42*D71*24</f>
        <v>188484</v>
      </c>
      <c r="K71" s="277">
        <f>(J71*'1'!$E$43)</f>
        <v>7539.3600000000006</v>
      </c>
      <c r="L71" s="277">
        <f t="shared" si="0"/>
        <v>4523.6159999999918</v>
      </c>
      <c r="M71" s="277">
        <f t="shared" si="1"/>
        <v>0</v>
      </c>
      <c r="N71" s="277">
        <f t="shared" si="2"/>
        <v>4523.6159999999918</v>
      </c>
    </row>
    <row r="72" spans="2:14">
      <c r="B72" s="281">
        <f t="shared" si="3"/>
        <v>7</v>
      </c>
      <c r="C72" s="281">
        <f t="shared" si="4"/>
        <v>3</v>
      </c>
      <c r="D72" s="558">
        <v>31</v>
      </c>
      <c r="E72" s="286"/>
      <c r="F72" s="286"/>
      <c r="G72" s="282">
        <f t="shared" si="5"/>
        <v>206832</v>
      </c>
      <c r="H72" s="283">
        <f>HLOOKUP($C72,'1'!$D$35:$O$38,3,FALSE)</f>
        <v>0.8</v>
      </c>
      <c r="I72" s="284">
        <f>HLOOKUP($C72,'1'!$D$35:$O$38,4,FALSE)</f>
        <v>0.98</v>
      </c>
      <c r="J72" s="282">
        <f>'1'!$E$42*D72*24</f>
        <v>206832</v>
      </c>
      <c r="K72" s="277">
        <f>(J72*'1'!$E$43)</f>
        <v>8273.2800000000007</v>
      </c>
      <c r="L72" s="277">
        <f t="shared" si="0"/>
        <v>3309.3120000000113</v>
      </c>
      <c r="M72" s="277">
        <f t="shared" si="1"/>
        <v>0</v>
      </c>
      <c r="N72" s="277">
        <f t="shared" si="2"/>
        <v>3309.3120000000113</v>
      </c>
    </row>
    <row r="73" spans="2:14">
      <c r="B73" s="281">
        <f t="shared" si="3"/>
        <v>7</v>
      </c>
      <c r="C73" s="281">
        <f t="shared" si="4"/>
        <v>4</v>
      </c>
      <c r="D73" s="558">
        <v>30</v>
      </c>
      <c r="E73" s="286"/>
      <c r="F73" s="286"/>
      <c r="G73" s="282">
        <f t="shared" si="5"/>
        <v>200160</v>
      </c>
      <c r="H73" s="283">
        <f>HLOOKUP($C73,'1'!$D$35:$O$38,3,FALSE)</f>
        <v>0.8</v>
      </c>
      <c r="I73" s="284">
        <f>HLOOKUP($C73,'1'!$D$35:$O$38,4,FALSE)</f>
        <v>0.98</v>
      </c>
      <c r="J73" s="282">
        <f>'1'!$E$42*D73*24</f>
        <v>200160</v>
      </c>
      <c r="K73" s="277">
        <f>(J73*'1'!$E$43)</f>
        <v>8006.4000000000005</v>
      </c>
      <c r="L73" s="277">
        <f t="shared" si="0"/>
        <v>3202.5600000000095</v>
      </c>
      <c r="M73" s="277">
        <f t="shared" si="1"/>
        <v>0</v>
      </c>
      <c r="N73" s="277">
        <f t="shared" si="2"/>
        <v>3202.5600000000095</v>
      </c>
    </row>
    <row r="74" spans="2:14">
      <c r="B74" s="281">
        <f t="shared" si="3"/>
        <v>7</v>
      </c>
      <c r="C74" s="281">
        <f t="shared" si="4"/>
        <v>5</v>
      </c>
      <c r="D74" s="558">
        <v>31</v>
      </c>
      <c r="E74" s="286"/>
      <c r="F74" s="286"/>
      <c r="G74" s="282">
        <f t="shared" si="5"/>
        <v>206832</v>
      </c>
      <c r="H74" s="283">
        <f>HLOOKUP($C74,'1'!$D$35:$O$38,3,FALSE)</f>
        <v>0.8</v>
      </c>
      <c r="I74" s="284">
        <f>HLOOKUP($C74,'1'!$D$35:$O$38,4,FALSE)</f>
        <v>0.98</v>
      </c>
      <c r="J74" s="282">
        <f>'1'!$E$42*D74*24</f>
        <v>206832</v>
      </c>
      <c r="K74" s="277">
        <f>(J74*'1'!$E$43)</f>
        <v>8273.2800000000007</v>
      </c>
      <c r="L74" s="277">
        <f t="shared" ref="L74:L137" si="6">(G74-(J74*I74))*H74</f>
        <v>3309.3120000000113</v>
      </c>
      <c r="M74" s="277">
        <f t="shared" ref="M74:M137" si="7">IF(L74&lt;0,L74,0)</f>
        <v>0</v>
      </c>
      <c r="N74" s="277">
        <f t="shared" ref="N74:N137" si="8">IF(L74&gt;0,L74,0)</f>
        <v>3309.3120000000113</v>
      </c>
    </row>
    <row r="75" spans="2:14">
      <c r="B75" s="281">
        <f t="shared" ref="B75:B138" si="9">IF(C75=1,B74+1,B74)</f>
        <v>7</v>
      </c>
      <c r="C75" s="281">
        <f t="shared" ref="C75:C138" si="10">IF(C74=12,1,C74+1)</f>
        <v>6</v>
      </c>
      <c r="D75" s="558">
        <v>30</v>
      </c>
      <c r="E75" s="286"/>
      <c r="F75" s="286"/>
      <c r="G75" s="282">
        <f t="shared" ref="G75:G138" si="11">J75-(E75+F75)</f>
        <v>200160</v>
      </c>
      <c r="H75" s="283">
        <f>HLOOKUP($C75,'1'!$D$35:$O$38,3,FALSE)</f>
        <v>0.8</v>
      </c>
      <c r="I75" s="284">
        <f>HLOOKUP($C75,'1'!$D$35:$O$38,4,FALSE)</f>
        <v>0.98</v>
      </c>
      <c r="J75" s="282">
        <f>'1'!$E$42*D75*24</f>
        <v>200160</v>
      </c>
      <c r="K75" s="277">
        <f>(J75*'1'!$E$43)</f>
        <v>8006.4000000000005</v>
      </c>
      <c r="L75" s="277">
        <f t="shared" si="6"/>
        <v>3202.5600000000095</v>
      </c>
      <c r="M75" s="277">
        <f t="shared" si="7"/>
        <v>0</v>
      </c>
      <c r="N75" s="277">
        <f t="shared" si="8"/>
        <v>3202.5600000000095</v>
      </c>
    </row>
    <row r="76" spans="2:14">
      <c r="B76" s="281">
        <f t="shared" si="9"/>
        <v>7</v>
      </c>
      <c r="C76" s="281">
        <f t="shared" si="10"/>
        <v>7</v>
      </c>
      <c r="D76" s="558">
        <v>31</v>
      </c>
      <c r="E76" s="286"/>
      <c r="F76" s="286"/>
      <c r="G76" s="282">
        <f t="shared" si="11"/>
        <v>206832</v>
      </c>
      <c r="H76" s="283">
        <f>HLOOKUP($C76,'1'!$D$35:$O$38,3,FALSE)</f>
        <v>0.8</v>
      </c>
      <c r="I76" s="284">
        <f>HLOOKUP($C76,'1'!$D$35:$O$38,4,FALSE)</f>
        <v>0.98</v>
      </c>
      <c r="J76" s="282">
        <f>'1'!$E$42*D76*24</f>
        <v>206832</v>
      </c>
      <c r="K76" s="277">
        <f>(J76*'1'!$E$43)</f>
        <v>8273.2800000000007</v>
      </c>
      <c r="L76" s="277">
        <f t="shared" si="6"/>
        <v>3309.3120000000113</v>
      </c>
      <c r="M76" s="277">
        <f t="shared" si="7"/>
        <v>0</v>
      </c>
      <c r="N76" s="277">
        <f t="shared" si="8"/>
        <v>3309.3120000000113</v>
      </c>
    </row>
    <row r="77" spans="2:14">
      <c r="B77" s="281">
        <f t="shared" si="9"/>
        <v>7</v>
      </c>
      <c r="C77" s="281">
        <f t="shared" si="10"/>
        <v>8</v>
      </c>
      <c r="D77" s="558">
        <v>31</v>
      </c>
      <c r="E77" s="286"/>
      <c r="F77" s="286"/>
      <c r="G77" s="282">
        <f t="shared" si="11"/>
        <v>206832</v>
      </c>
      <c r="H77" s="283">
        <f>HLOOKUP($C77,'1'!$D$35:$O$38,3,FALSE)</f>
        <v>0.8</v>
      </c>
      <c r="I77" s="284">
        <f>HLOOKUP($C77,'1'!$D$35:$O$38,4,FALSE)</f>
        <v>0.98</v>
      </c>
      <c r="J77" s="282">
        <f>'1'!$E$42*D77*24</f>
        <v>206832</v>
      </c>
      <c r="K77" s="277">
        <f>(J77*'1'!$E$43)</f>
        <v>8273.2800000000007</v>
      </c>
      <c r="L77" s="277">
        <f t="shared" si="6"/>
        <v>3309.3120000000113</v>
      </c>
      <c r="M77" s="277">
        <f t="shared" si="7"/>
        <v>0</v>
      </c>
      <c r="N77" s="277">
        <f t="shared" si="8"/>
        <v>3309.3120000000113</v>
      </c>
    </row>
    <row r="78" spans="2:14">
      <c r="B78" s="281">
        <f t="shared" si="9"/>
        <v>7</v>
      </c>
      <c r="C78" s="281">
        <f t="shared" si="10"/>
        <v>9</v>
      </c>
      <c r="D78" s="558">
        <v>30</v>
      </c>
      <c r="E78" s="286"/>
      <c r="F78" s="286"/>
      <c r="G78" s="282">
        <f t="shared" si="11"/>
        <v>200160</v>
      </c>
      <c r="H78" s="283">
        <f>HLOOKUP($C78,'1'!$D$35:$O$38,3,FALSE)</f>
        <v>1.2</v>
      </c>
      <c r="I78" s="284">
        <f>HLOOKUP($C78,'1'!$D$35:$O$38,4,FALSE)</f>
        <v>0.98</v>
      </c>
      <c r="J78" s="282">
        <f>'1'!$E$42*D78*24</f>
        <v>200160</v>
      </c>
      <c r="K78" s="277">
        <f>(J78*'1'!$E$43)</f>
        <v>8006.4000000000005</v>
      </c>
      <c r="L78" s="277">
        <f t="shared" si="6"/>
        <v>4803.8400000000138</v>
      </c>
      <c r="M78" s="277">
        <f t="shared" si="7"/>
        <v>0</v>
      </c>
      <c r="N78" s="277">
        <f t="shared" si="8"/>
        <v>4803.8400000000138</v>
      </c>
    </row>
    <row r="79" spans="2:14">
      <c r="B79" s="281">
        <f t="shared" si="9"/>
        <v>7</v>
      </c>
      <c r="C79" s="281">
        <f t="shared" si="10"/>
        <v>10</v>
      </c>
      <c r="D79" s="558">
        <v>31</v>
      </c>
      <c r="E79" s="286"/>
      <c r="F79" s="286"/>
      <c r="G79" s="282">
        <f t="shared" si="11"/>
        <v>206832</v>
      </c>
      <c r="H79" s="283">
        <f>HLOOKUP($C79,'1'!$D$35:$O$38,3,FALSE)</f>
        <v>1.2</v>
      </c>
      <c r="I79" s="284">
        <f>HLOOKUP($C79,'1'!$D$35:$O$38,4,FALSE)</f>
        <v>0.98</v>
      </c>
      <c r="J79" s="282">
        <f>'1'!$E$42*D79*24</f>
        <v>206832</v>
      </c>
      <c r="K79" s="277">
        <f>(J79*'1'!$E$43)</f>
        <v>8273.2800000000007</v>
      </c>
      <c r="L79" s="277">
        <f t="shared" si="6"/>
        <v>4963.9680000000162</v>
      </c>
      <c r="M79" s="277">
        <f t="shared" si="7"/>
        <v>0</v>
      </c>
      <c r="N79" s="277">
        <f t="shared" si="8"/>
        <v>4963.9680000000162</v>
      </c>
    </row>
    <row r="80" spans="2:14">
      <c r="B80" s="281">
        <f t="shared" si="9"/>
        <v>7</v>
      </c>
      <c r="C80" s="281">
        <f t="shared" si="10"/>
        <v>11</v>
      </c>
      <c r="D80" s="558">
        <v>30</v>
      </c>
      <c r="E80" s="286"/>
      <c r="F80" s="286"/>
      <c r="G80" s="282">
        <f t="shared" si="11"/>
        <v>200160</v>
      </c>
      <c r="H80" s="283">
        <f>HLOOKUP($C80,'1'!$D$35:$O$38,3,FALSE)</f>
        <v>1.2</v>
      </c>
      <c r="I80" s="284">
        <f>HLOOKUP($C80,'1'!$D$35:$O$38,4,FALSE)</f>
        <v>0.98</v>
      </c>
      <c r="J80" s="282">
        <f>'1'!$E$42*D80*24</f>
        <v>200160</v>
      </c>
      <c r="K80" s="277">
        <f>(J80*'1'!$E$43)</f>
        <v>8006.4000000000005</v>
      </c>
      <c r="L80" s="277">
        <f t="shared" si="6"/>
        <v>4803.8400000000138</v>
      </c>
      <c r="M80" s="277">
        <f t="shared" si="7"/>
        <v>0</v>
      </c>
      <c r="N80" s="277">
        <f t="shared" si="8"/>
        <v>4803.8400000000138</v>
      </c>
    </row>
    <row r="81" spans="2:14">
      <c r="B81" s="281">
        <f t="shared" si="9"/>
        <v>7</v>
      </c>
      <c r="C81" s="281">
        <f t="shared" si="10"/>
        <v>12</v>
      </c>
      <c r="D81" s="558">
        <v>31</v>
      </c>
      <c r="E81" s="286"/>
      <c r="F81" s="286"/>
      <c r="G81" s="282">
        <f t="shared" si="11"/>
        <v>206832</v>
      </c>
      <c r="H81" s="283">
        <f>HLOOKUP($C81,'1'!$D$35:$O$38,3,FALSE)</f>
        <v>1.2</v>
      </c>
      <c r="I81" s="284">
        <f>HLOOKUP($C81,'1'!$D$35:$O$38,4,FALSE)</f>
        <v>0.98</v>
      </c>
      <c r="J81" s="282">
        <f>'1'!$E$42*D81*24</f>
        <v>206832</v>
      </c>
      <c r="K81" s="277">
        <f>(J81*'1'!$E$43)</f>
        <v>8273.2800000000007</v>
      </c>
      <c r="L81" s="277">
        <f t="shared" si="6"/>
        <v>4963.9680000000162</v>
      </c>
      <c r="M81" s="277">
        <f t="shared" si="7"/>
        <v>0</v>
      </c>
      <c r="N81" s="277">
        <f t="shared" si="8"/>
        <v>4963.9680000000162</v>
      </c>
    </row>
    <row r="82" spans="2:14">
      <c r="B82" s="281">
        <f t="shared" si="9"/>
        <v>8</v>
      </c>
      <c r="C82" s="281">
        <f t="shared" si="10"/>
        <v>1</v>
      </c>
      <c r="D82" s="558">
        <v>31</v>
      </c>
      <c r="E82" s="286"/>
      <c r="F82" s="286"/>
      <c r="G82" s="282">
        <f t="shared" si="11"/>
        <v>206832</v>
      </c>
      <c r="H82" s="283">
        <f>HLOOKUP($C82,'1'!$D$35:$O$38,3,FALSE)</f>
        <v>1.2</v>
      </c>
      <c r="I82" s="284">
        <f>HLOOKUP($C82,'1'!$D$35:$O$38,4,FALSE)</f>
        <v>0.98</v>
      </c>
      <c r="J82" s="282">
        <f>'1'!$E$42*D82*24</f>
        <v>206832</v>
      </c>
      <c r="K82" s="277">
        <f>(J82*'1'!$E$43)</f>
        <v>8273.2800000000007</v>
      </c>
      <c r="L82" s="277">
        <f t="shared" si="6"/>
        <v>4963.9680000000162</v>
      </c>
      <c r="M82" s="277">
        <f t="shared" si="7"/>
        <v>0</v>
      </c>
      <c r="N82" s="277">
        <f t="shared" si="8"/>
        <v>4963.9680000000162</v>
      </c>
    </row>
    <row r="83" spans="2:14">
      <c r="B83" s="281">
        <f t="shared" si="9"/>
        <v>8</v>
      </c>
      <c r="C83" s="281">
        <f t="shared" si="10"/>
        <v>2</v>
      </c>
      <c r="D83" s="558">
        <v>28.25</v>
      </c>
      <c r="E83" s="286"/>
      <c r="F83" s="286"/>
      <c r="G83" s="282">
        <f t="shared" si="11"/>
        <v>188484</v>
      </c>
      <c r="H83" s="283">
        <f>HLOOKUP($C83,'1'!$D$35:$O$38,3,FALSE)</f>
        <v>1.2</v>
      </c>
      <c r="I83" s="284">
        <f>HLOOKUP($C83,'1'!$D$35:$O$38,4,FALSE)</f>
        <v>0.98</v>
      </c>
      <c r="J83" s="282">
        <f>'1'!$E$42*D83*24</f>
        <v>188484</v>
      </c>
      <c r="K83" s="277">
        <f>(J83*'1'!$E$43)</f>
        <v>7539.3600000000006</v>
      </c>
      <c r="L83" s="277">
        <f t="shared" si="6"/>
        <v>4523.6159999999918</v>
      </c>
      <c r="M83" s="277">
        <f t="shared" si="7"/>
        <v>0</v>
      </c>
      <c r="N83" s="277">
        <f t="shared" si="8"/>
        <v>4523.6159999999918</v>
      </c>
    </row>
    <row r="84" spans="2:14">
      <c r="B84" s="281">
        <f t="shared" si="9"/>
        <v>8</v>
      </c>
      <c r="C84" s="281">
        <f t="shared" si="10"/>
        <v>3</v>
      </c>
      <c r="D84" s="558">
        <v>31</v>
      </c>
      <c r="E84" s="286"/>
      <c r="F84" s="286"/>
      <c r="G84" s="282">
        <f t="shared" si="11"/>
        <v>206832</v>
      </c>
      <c r="H84" s="283">
        <f>HLOOKUP($C84,'1'!$D$35:$O$38,3,FALSE)</f>
        <v>0.8</v>
      </c>
      <c r="I84" s="284">
        <f>HLOOKUP($C84,'1'!$D$35:$O$38,4,FALSE)</f>
        <v>0.98</v>
      </c>
      <c r="J84" s="282">
        <f>'1'!$E$42*D84*24</f>
        <v>206832</v>
      </c>
      <c r="K84" s="277">
        <f>(J84*'1'!$E$43)</f>
        <v>8273.2800000000007</v>
      </c>
      <c r="L84" s="277">
        <f t="shared" si="6"/>
        <v>3309.3120000000113</v>
      </c>
      <c r="M84" s="277">
        <f t="shared" si="7"/>
        <v>0</v>
      </c>
      <c r="N84" s="277">
        <f t="shared" si="8"/>
        <v>3309.3120000000113</v>
      </c>
    </row>
    <row r="85" spans="2:14">
      <c r="B85" s="281">
        <f t="shared" si="9"/>
        <v>8</v>
      </c>
      <c r="C85" s="281">
        <f t="shared" si="10"/>
        <v>4</v>
      </c>
      <c r="D85" s="558">
        <v>30</v>
      </c>
      <c r="E85" s="286"/>
      <c r="F85" s="286"/>
      <c r="G85" s="282">
        <f t="shared" si="11"/>
        <v>200160</v>
      </c>
      <c r="H85" s="283">
        <f>HLOOKUP($C85,'1'!$D$35:$O$38,3,FALSE)</f>
        <v>0.8</v>
      </c>
      <c r="I85" s="284">
        <f>HLOOKUP($C85,'1'!$D$35:$O$38,4,FALSE)</f>
        <v>0.98</v>
      </c>
      <c r="J85" s="282">
        <f>'1'!$E$42*D85*24</f>
        <v>200160</v>
      </c>
      <c r="K85" s="277">
        <f>(J85*'1'!$E$43)</f>
        <v>8006.4000000000005</v>
      </c>
      <c r="L85" s="277">
        <f t="shared" si="6"/>
        <v>3202.5600000000095</v>
      </c>
      <c r="M85" s="277">
        <f t="shared" si="7"/>
        <v>0</v>
      </c>
      <c r="N85" s="277">
        <f t="shared" si="8"/>
        <v>3202.5600000000095</v>
      </c>
    </row>
    <row r="86" spans="2:14">
      <c r="B86" s="281">
        <f t="shared" si="9"/>
        <v>8</v>
      </c>
      <c r="C86" s="281">
        <f t="shared" si="10"/>
        <v>5</v>
      </c>
      <c r="D86" s="558">
        <v>31</v>
      </c>
      <c r="E86" s="286"/>
      <c r="F86" s="286"/>
      <c r="G86" s="282">
        <f t="shared" si="11"/>
        <v>206832</v>
      </c>
      <c r="H86" s="283">
        <f>HLOOKUP($C86,'1'!$D$35:$O$38,3,FALSE)</f>
        <v>0.8</v>
      </c>
      <c r="I86" s="284">
        <f>HLOOKUP($C86,'1'!$D$35:$O$38,4,FALSE)</f>
        <v>0.98</v>
      </c>
      <c r="J86" s="282">
        <f>'1'!$E$42*D86*24</f>
        <v>206832</v>
      </c>
      <c r="K86" s="277">
        <f>(J86*'1'!$E$43)</f>
        <v>8273.2800000000007</v>
      </c>
      <c r="L86" s="277">
        <f t="shared" si="6"/>
        <v>3309.3120000000113</v>
      </c>
      <c r="M86" s="277">
        <f t="shared" si="7"/>
        <v>0</v>
      </c>
      <c r="N86" s="277">
        <f t="shared" si="8"/>
        <v>3309.3120000000113</v>
      </c>
    </row>
    <row r="87" spans="2:14">
      <c r="B87" s="281">
        <f t="shared" si="9"/>
        <v>8</v>
      </c>
      <c r="C87" s="281">
        <f t="shared" si="10"/>
        <v>6</v>
      </c>
      <c r="D87" s="558">
        <v>30</v>
      </c>
      <c r="E87" s="286"/>
      <c r="F87" s="286"/>
      <c r="G87" s="282">
        <f t="shared" si="11"/>
        <v>200160</v>
      </c>
      <c r="H87" s="283">
        <f>HLOOKUP($C87,'1'!$D$35:$O$38,3,FALSE)</f>
        <v>0.8</v>
      </c>
      <c r="I87" s="284">
        <f>HLOOKUP($C87,'1'!$D$35:$O$38,4,FALSE)</f>
        <v>0.98</v>
      </c>
      <c r="J87" s="282">
        <f>'1'!$E$42*D87*24</f>
        <v>200160</v>
      </c>
      <c r="K87" s="277">
        <f>(J87*'1'!$E$43)</f>
        <v>8006.4000000000005</v>
      </c>
      <c r="L87" s="277">
        <f t="shared" si="6"/>
        <v>3202.5600000000095</v>
      </c>
      <c r="M87" s="277">
        <f t="shared" si="7"/>
        <v>0</v>
      </c>
      <c r="N87" s="277">
        <f t="shared" si="8"/>
        <v>3202.5600000000095</v>
      </c>
    </row>
    <row r="88" spans="2:14">
      <c r="B88" s="281">
        <f t="shared" si="9"/>
        <v>8</v>
      </c>
      <c r="C88" s="281">
        <f t="shared" si="10"/>
        <v>7</v>
      </c>
      <c r="D88" s="558">
        <v>31</v>
      </c>
      <c r="E88" s="286"/>
      <c r="F88" s="286"/>
      <c r="G88" s="282">
        <f t="shared" si="11"/>
        <v>206832</v>
      </c>
      <c r="H88" s="283">
        <f>HLOOKUP($C88,'1'!$D$35:$O$38,3,FALSE)</f>
        <v>0.8</v>
      </c>
      <c r="I88" s="284">
        <f>HLOOKUP($C88,'1'!$D$35:$O$38,4,FALSE)</f>
        <v>0.98</v>
      </c>
      <c r="J88" s="282">
        <f>'1'!$E$42*D88*24</f>
        <v>206832</v>
      </c>
      <c r="K88" s="277">
        <f>(J88*'1'!$E$43)</f>
        <v>8273.2800000000007</v>
      </c>
      <c r="L88" s="277">
        <f t="shared" si="6"/>
        <v>3309.3120000000113</v>
      </c>
      <c r="M88" s="277">
        <f t="shared" si="7"/>
        <v>0</v>
      </c>
      <c r="N88" s="277">
        <f t="shared" si="8"/>
        <v>3309.3120000000113</v>
      </c>
    </row>
    <row r="89" spans="2:14">
      <c r="B89" s="281">
        <f t="shared" si="9"/>
        <v>8</v>
      </c>
      <c r="C89" s="281">
        <f t="shared" si="10"/>
        <v>8</v>
      </c>
      <c r="D89" s="558">
        <v>31</v>
      </c>
      <c r="E89" s="286"/>
      <c r="F89" s="286"/>
      <c r="G89" s="282">
        <f t="shared" si="11"/>
        <v>206832</v>
      </c>
      <c r="H89" s="283">
        <f>HLOOKUP($C89,'1'!$D$35:$O$38,3,FALSE)</f>
        <v>0.8</v>
      </c>
      <c r="I89" s="284">
        <f>HLOOKUP($C89,'1'!$D$35:$O$38,4,FALSE)</f>
        <v>0.98</v>
      </c>
      <c r="J89" s="282">
        <f>'1'!$E$42*D89*24</f>
        <v>206832</v>
      </c>
      <c r="K89" s="277">
        <f>(J89*'1'!$E$43)</f>
        <v>8273.2800000000007</v>
      </c>
      <c r="L89" s="277">
        <f t="shared" si="6"/>
        <v>3309.3120000000113</v>
      </c>
      <c r="M89" s="277">
        <f t="shared" si="7"/>
        <v>0</v>
      </c>
      <c r="N89" s="277">
        <f t="shared" si="8"/>
        <v>3309.3120000000113</v>
      </c>
    </row>
    <row r="90" spans="2:14">
      <c r="B90" s="281">
        <f t="shared" si="9"/>
        <v>8</v>
      </c>
      <c r="C90" s="281">
        <f t="shared" si="10"/>
        <v>9</v>
      </c>
      <c r="D90" s="558">
        <v>30</v>
      </c>
      <c r="E90" s="286"/>
      <c r="F90" s="286"/>
      <c r="G90" s="282">
        <f t="shared" si="11"/>
        <v>200160</v>
      </c>
      <c r="H90" s="283">
        <f>HLOOKUP($C90,'1'!$D$35:$O$38,3,FALSE)</f>
        <v>1.2</v>
      </c>
      <c r="I90" s="284">
        <f>HLOOKUP($C90,'1'!$D$35:$O$38,4,FALSE)</f>
        <v>0.98</v>
      </c>
      <c r="J90" s="282">
        <f>'1'!$E$42*D90*24</f>
        <v>200160</v>
      </c>
      <c r="K90" s="277">
        <f>(J90*'1'!$E$43)</f>
        <v>8006.4000000000005</v>
      </c>
      <c r="L90" s="277">
        <f t="shared" si="6"/>
        <v>4803.8400000000138</v>
      </c>
      <c r="M90" s="277">
        <f t="shared" si="7"/>
        <v>0</v>
      </c>
      <c r="N90" s="277">
        <f t="shared" si="8"/>
        <v>4803.8400000000138</v>
      </c>
    </row>
    <row r="91" spans="2:14">
      <c r="B91" s="281">
        <f t="shared" si="9"/>
        <v>8</v>
      </c>
      <c r="C91" s="281">
        <f t="shared" si="10"/>
        <v>10</v>
      </c>
      <c r="D91" s="558">
        <v>31</v>
      </c>
      <c r="E91" s="286"/>
      <c r="F91" s="286"/>
      <c r="G91" s="282">
        <f t="shared" si="11"/>
        <v>206832</v>
      </c>
      <c r="H91" s="283">
        <f>HLOOKUP($C91,'1'!$D$35:$O$38,3,FALSE)</f>
        <v>1.2</v>
      </c>
      <c r="I91" s="284">
        <f>HLOOKUP($C91,'1'!$D$35:$O$38,4,FALSE)</f>
        <v>0.98</v>
      </c>
      <c r="J91" s="282">
        <f>'1'!$E$42*D91*24</f>
        <v>206832</v>
      </c>
      <c r="K91" s="277">
        <f>(J91*'1'!$E$43)</f>
        <v>8273.2800000000007</v>
      </c>
      <c r="L91" s="277">
        <f t="shared" si="6"/>
        <v>4963.9680000000162</v>
      </c>
      <c r="M91" s="277">
        <f t="shared" si="7"/>
        <v>0</v>
      </c>
      <c r="N91" s="277">
        <f t="shared" si="8"/>
        <v>4963.9680000000162</v>
      </c>
    </row>
    <row r="92" spans="2:14">
      <c r="B92" s="281">
        <f t="shared" si="9"/>
        <v>8</v>
      </c>
      <c r="C92" s="281">
        <f t="shared" si="10"/>
        <v>11</v>
      </c>
      <c r="D92" s="558">
        <v>30</v>
      </c>
      <c r="E92" s="286"/>
      <c r="F92" s="286"/>
      <c r="G92" s="282">
        <f t="shared" si="11"/>
        <v>200160</v>
      </c>
      <c r="H92" s="283">
        <f>HLOOKUP($C92,'1'!$D$35:$O$38,3,FALSE)</f>
        <v>1.2</v>
      </c>
      <c r="I92" s="284">
        <f>HLOOKUP($C92,'1'!$D$35:$O$38,4,FALSE)</f>
        <v>0.98</v>
      </c>
      <c r="J92" s="282">
        <f>'1'!$E$42*D92*24</f>
        <v>200160</v>
      </c>
      <c r="K92" s="277">
        <f>(J92*'1'!$E$43)</f>
        <v>8006.4000000000005</v>
      </c>
      <c r="L92" s="277">
        <f t="shared" si="6"/>
        <v>4803.8400000000138</v>
      </c>
      <c r="M92" s="277">
        <f t="shared" si="7"/>
        <v>0</v>
      </c>
      <c r="N92" s="277">
        <f t="shared" si="8"/>
        <v>4803.8400000000138</v>
      </c>
    </row>
    <row r="93" spans="2:14">
      <c r="B93" s="281">
        <f t="shared" si="9"/>
        <v>8</v>
      </c>
      <c r="C93" s="281">
        <f t="shared" si="10"/>
        <v>12</v>
      </c>
      <c r="D93" s="558">
        <v>31</v>
      </c>
      <c r="E93" s="286"/>
      <c r="F93" s="286"/>
      <c r="G93" s="282">
        <f t="shared" si="11"/>
        <v>206832</v>
      </c>
      <c r="H93" s="283">
        <f>HLOOKUP($C93,'1'!$D$35:$O$38,3,FALSE)</f>
        <v>1.2</v>
      </c>
      <c r="I93" s="284">
        <f>HLOOKUP($C93,'1'!$D$35:$O$38,4,FALSE)</f>
        <v>0.98</v>
      </c>
      <c r="J93" s="282">
        <f>'1'!$E$42*D93*24</f>
        <v>206832</v>
      </c>
      <c r="K93" s="277">
        <f>(J93*'1'!$E$43)</f>
        <v>8273.2800000000007</v>
      </c>
      <c r="L93" s="277">
        <f t="shared" si="6"/>
        <v>4963.9680000000162</v>
      </c>
      <c r="M93" s="277">
        <f t="shared" si="7"/>
        <v>0</v>
      </c>
      <c r="N93" s="277">
        <f t="shared" si="8"/>
        <v>4963.9680000000162</v>
      </c>
    </row>
    <row r="94" spans="2:14">
      <c r="B94" s="281">
        <f t="shared" si="9"/>
        <v>9</v>
      </c>
      <c r="C94" s="281">
        <f t="shared" si="10"/>
        <v>1</v>
      </c>
      <c r="D94" s="558">
        <v>31</v>
      </c>
      <c r="E94" s="286"/>
      <c r="F94" s="286"/>
      <c r="G94" s="282">
        <f t="shared" si="11"/>
        <v>206832</v>
      </c>
      <c r="H94" s="283">
        <f>HLOOKUP($C94,'1'!$D$35:$O$38,3,FALSE)</f>
        <v>1.2</v>
      </c>
      <c r="I94" s="284">
        <f>HLOOKUP($C94,'1'!$D$35:$O$38,4,FALSE)</f>
        <v>0.98</v>
      </c>
      <c r="J94" s="282">
        <f>'1'!$E$42*D94*24</f>
        <v>206832</v>
      </c>
      <c r="K94" s="277">
        <f>(J94*'1'!$E$43)</f>
        <v>8273.2800000000007</v>
      </c>
      <c r="L94" s="277">
        <f t="shared" si="6"/>
        <v>4963.9680000000162</v>
      </c>
      <c r="M94" s="277">
        <f t="shared" si="7"/>
        <v>0</v>
      </c>
      <c r="N94" s="277">
        <f t="shared" si="8"/>
        <v>4963.9680000000162</v>
      </c>
    </row>
    <row r="95" spans="2:14">
      <c r="B95" s="281">
        <f t="shared" si="9"/>
        <v>9</v>
      </c>
      <c r="C95" s="281">
        <f t="shared" si="10"/>
        <v>2</v>
      </c>
      <c r="D95" s="558">
        <v>28.25</v>
      </c>
      <c r="E95" s="286"/>
      <c r="F95" s="286"/>
      <c r="G95" s="282">
        <f t="shared" si="11"/>
        <v>188484</v>
      </c>
      <c r="H95" s="283">
        <f>HLOOKUP($C95,'1'!$D$35:$O$38,3,FALSE)</f>
        <v>1.2</v>
      </c>
      <c r="I95" s="284">
        <f>HLOOKUP($C95,'1'!$D$35:$O$38,4,FALSE)</f>
        <v>0.98</v>
      </c>
      <c r="J95" s="282">
        <f>'1'!$E$42*D95*24</f>
        <v>188484</v>
      </c>
      <c r="K95" s="277">
        <f>(J95*'1'!$E$43)</f>
        <v>7539.3600000000006</v>
      </c>
      <c r="L95" s="277">
        <f t="shared" si="6"/>
        <v>4523.6159999999918</v>
      </c>
      <c r="M95" s="277">
        <f t="shared" si="7"/>
        <v>0</v>
      </c>
      <c r="N95" s="277">
        <f t="shared" si="8"/>
        <v>4523.6159999999918</v>
      </c>
    </row>
    <row r="96" spans="2:14">
      <c r="B96" s="281">
        <f t="shared" si="9"/>
        <v>9</v>
      </c>
      <c r="C96" s="281">
        <f t="shared" si="10"/>
        <v>3</v>
      </c>
      <c r="D96" s="558">
        <v>31</v>
      </c>
      <c r="E96" s="286"/>
      <c r="F96" s="286"/>
      <c r="G96" s="282">
        <f t="shared" si="11"/>
        <v>206832</v>
      </c>
      <c r="H96" s="283">
        <f>HLOOKUP($C96,'1'!$D$35:$O$38,3,FALSE)</f>
        <v>0.8</v>
      </c>
      <c r="I96" s="284">
        <f>HLOOKUP($C96,'1'!$D$35:$O$38,4,FALSE)</f>
        <v>0.98</v>
      </c>
      <c r="J96" s="282">
        <f>'1'!$E$42*D96*24</f>
        <v>206832</v>
      </c>
      <c r="K96" s="277">
        <f>(J96*'1'!$E$43)</f>
        <v>8273.2800000000007</v>
      </c>
      <c r="L96" s="277">
        <f t="shared" si="6"/>
        <v>3309.3120000000113</v>
      </c>
      <c r="M96" s="277">
        <f t="shared" si="7"/>
        <v>0</v>
      </c>
      <c r="N96" s="277">
        <f t="shared" si="8"/>
        <v>3309.3120000000113</v>
      </c>
    </row>
    <row r="97" spans="2:14">
      <c r="B97" s="281">
        <f t="shared" si="9"/>
        <v>9</v>
      </c>
      <c r="C97" s="281">
        <f t="shared" si="10"/>
        <v>4</v>
      </c>
      <c r="D97" s="558">
        <v>30</v>
      </c>
      <c r="E97" s="286"/>
      <c r="F97" s="286"/>
      <c r="G97" s="282">
        <f t="shared" si="11"/>
        <v>200160</v>
      </c>
      <c r="H97" s="283">
        <f>HLOOKUP($C97,'1'!$D$35:$O$38,3,FALSE)</f>
        <v>0.8</v>
      </c>
      <c r="I97" s="284">
        <f>HLOOKUP($C97,'1'!$D$35:$O$38,4,FALSE)</f>
        <v>0.98</v>
      </c>
      <c r="J97" s="282">
        <f>'1'!$E$42*D97*24</f>
        <v>200160</v>
      </c>
      <c r="K97" s="277">
        <f>(J97*'1'!$E$43)</f>
        <v>8006.4000000000005</v>
      </c>
      <c r="L97" s="277">
        <f t="shared" si="6"/>
        <v>3202.5600000000095</v>
      </c>
      <c r="M97" s="277">
        <f t="shared" si="7"/>
        <v>0</v>
      </c>
      <c r="N97" s="277">
        <f t="shared" si="8"/>
        <v>3202.5600000000095</v>
      </c>
    </row>
    <row r="98" spans="2:14">
      <c r="B98" s="281">
        <f t="shared" si="9"/>
        <v>9</v>
      </c>
      <c r="C98" s="281">
        <f t="shared" si="10"/>
        <v>5</v>
      </c>
      <c r="D98" s="558">
        <v>31</v>
      </c>
      <c r="E98" s="286"/>
      <c r="F98" s="286"/>
      <c r="G98" s="282">
        <f t="shared" si="11"/>
        <v>206832</v>
      </c>
      <c r="H98" s="283">
        <f>HLOOKUP($C98,'1'!$D$35:$O$38,3,FALSE)</f>
        <v>0.8</v>
      </c>
      <c r="I98" s="284">
        <f>HLOOKUP($C98,'1'!$D$35:$O$38,4,FALSE)</f>
        <v>0.98</v>
      </c>
      <c r="J98" s="282">
        <f>'1'!$E$42*D98*24</f>
        <v>206832</v>
      </c>
      <c r="K98" s="277">
        <f>(J98*'1'!$E$43)</f>
        <v>8273.2800000000007</v>
      </c>
      <c r="L98" s="277">
        <f t="shared" si="6"/>
        <v>3309.3120000000113</v>
      </c>
      <c r="M98" s="277">
        <f t="shared" si="7"/>
        <v>0</v>
      </c>
      <c r="N98" s="277">
        <f t="shared" si="8"/>
        <v>3309.3120000000113</v>
      </c>
    </row>
    <row r="99" spans="2:14">
      <c r="B99" s="281">
        <f t="shared" si="9"/>
        <v>9</v>
      </c>
      <c r="C99" s="281">
        <f t="shared" si="10"/>
        <v>6</v>
      </c>
      <c r="D99" s="558">
        <v>30</v>
      </c>
      <c r="E99" s="286"/>
      <c r="F99" s="286"/>
      <c r="G99" s="282">
        <f t="shared" si="11"/>
        <v>200160</v>
      </c>
      <c r="H99" s="283">
        <f>HLOOKUP($C99,'1'!$D$35:$O$38,3,FALSE)</f>
        <v>0.8</v>
      </c>
      <c r="I99" s="284">
        <f>HLOOKUP($C99,'1'!$D$35:$O$38,4,FALSE)</f>
        <v>0.98</v>
      </c>
      <c r="J99" s="282">
        <f>'1'!$E$42*D99*24</f>
        <v>200160</v>
      </c>
      <c r="K99" s="277">
        <f>(J99*'1'!$E$43)</f>
        <v>8006.4000000000005</v>
      </c>
      <c r="L99" s="277">
        <f t="shared" si="6"/>
        <v>3202.5600000000095</v>
      </c>
      <c r="M99" s="277">
        <f t="shared" si="7"/>
        <v>0</v>
      </c>
      <c r="N99" s="277">
        <f t="shared" si="8"/>
        <v>3202.5600000000095</v>
      </c>
    </row>
    <row r="100" spans="2:14">
      <c r="B100" s="281">
        <f t="shared" si="9"/>
        <v>9</v>
      </c>
      <c r="C100" s="281">
        <f t="shared" si="10"/>
        <v>7</v>
      </c>
      <c r="D100" s="558">
        <v>31</v>
      </c>
      <c r="E100" s="286"/>
      <c r="F100" s="286"/>
      <c r="G100" s="282">
        <f t="shared" si="11"/>
        <v>206832</v>
      </c>
      <c r="H100" s="283">
        <f>HLOOKUP($C100,'1'!$D$35:$O$38,3,FALSE)</f>
        <v>0.8</v>
      </c>
      <c r="I100" s="284">
        <f>HLOOKUP($C100,'1'!$D$35:$O$38,4,FALSE)</f>
        <v>0.98</v>
      </c>
      <c r="J100" s="282">
        <f>'1'!$E$42*D100*24</f>
        <v>206832</v>
      </c>
      <c r="K100" s="277">
        <f>(J100*'1'!$E$43)</f>
        <v>8273.2800000000007</v>
      </c>
      <c r="L100" s="277">
        <f t="shared" si="6"/>
        <v>3309.3120000000113</v>
      </c>
      <c r="M100" s="277">
        <f t="shared" si="7"/>
        <v>0</v>
      </c>
      <c r="N100" s="277">
        <f t="shared" si="8"/>
        <v>3309.3120000000113</v>
      </c>
    </row>
    <row r="101" spans="2:14">
      <c r="B101" s="281">
        <f t="shared" si="9"/>
        <v>9</v>
      </c>
      <c r="C101" s="281">
        <f t="shared" si="10"/>
        <v>8</v>
      </c>
      <c r="D101" s="558">
        <v>31</v>
      </c>
      <c r="E101" s="286"/>
      <c r="F101" s="286"/>
      <c r="G101" s="282">
        <f t="shared" si="11"/>
        <v>206832</v>
      </c>
      <c r="H101" s="283">
        <f>HLOOKUP($C101,'1'!$D$35:$O$38,3,FALSE)</f>
        <v>0.8</v>
      </c>
      <c r="I101" s="284">
        <f>HLOOKUP($C101,'1'!$D$35:$O$38,4,FALSE)</f>
        <v>0.98</v>
      </c>
      <c r="J101" s="282">
        <f>'1'!$E$42*D101*24</f>
        <v>206832</v>
      </c>
      <c r="K101" s="277">
        <f>(J101*'1'!$E$43)</f>
        <v>8273.2800000000007</v>
      </c>
      <c r="L101" s="277">
        <f t="shared" si="6"/>
        <v>3309.3120000000113</v>
      </c>
      <c r="M101" s="277">
        <f t="shared" si="7"/>
        <v>0</v>
      </c>
      <c r="N101" s="277">
        <f t="shared" si="8"/>
        <v>3309.3120000000113</v>
      </c>
    </row>
    <row r="102" spans="2:14">
      <c r="B102" s="281">
        <f t="shared" si="9"/>
        <v>9</v>
      </c>
      <c r="C102" s="281">
        <f t="shared" si="10"/>
        <v>9</v>
      </c>
      <c r="D102" s="558">
        <v>30</v>
      </c>
      <c r="E102" s="286"/>
      <c r="F102" s="286"/>
      <c r="G102" s="282">
        <f t="shared" si="11"/>
        <v>200160</v>
      </c>
      <c r="H102" s="283">
        <f>HLOOKUP($C102,'1'!$D$35:$O$38,3,FALSE)</f>
        <v>1.2</v>
      </c>
      <c r="I102" s="284">
        <f>HLOOKUP($C102,'1'!$D$35:$O$38,4,FALSE)</f>
        <v>0.98</v>
      </c>
      <c r="J102" s="282">
        <f>'1'!$E$42*D102*24</f>
        <v>200160</v>
      </c>
      <c r="K102" s="277">
        <f>(J102*'1'!$E$43)</f>
        <v>8006.4000000000005</v>
      </c>
      <c r="L102" s="277">
        <f t="shared" si="6"/>
        <v>4803.8400000000138</v>
      </c>
      <c r="M102" s="277">
        <f t="shared" si="7"/>
        <v>0</v>
      </c>
      <c r="N102" s="277">
        <f t="shared" si="8"/>
        <v>4803.8400000000138</v>
      </c>
    </row>
    <row r="103" spans="2:14">
      <c r="B103" s="281">
        <f t="shared" si="9"/>
        <v>9</v>
      </c>
      <c r="C103" s="281">
        <f t="shared" si="10"/>
        <v>10</v>
      </c>
      <c r="D103" s="558">
        <v>31</v>
      </c>
      <c r="E103" s="286"/>
      <c r="F103" s="286"/>
      <c r="G103" s="282">
        <f t="shared" si="11"/>
        <v>206832</v>
      </c>
      <c r="H103" s="283">
        <f>HLOOKUP($C103,'1'!$D$35:$O$38,3,FALSE)</f>
        <v>1.2</v>
      </c>
      <c r="I103" s="284">
        <f>HLOOKUP($C103,'1'!$D$35:$O$38,4,FALSE)</f>
        <v>0.98</v>
      </c>
      <c r="J103" s="282">
        <f>'1'!$E$42*D103*24</f>
        <v>206832</v>
      </c>
      <c r="K103" s="277">
        <f>(J103*'1'!$E$43)</f>
        <v>8273.2800000000007</v>
      </c>
      <c r="L103" s="277">
        <f t="shared" si="6"/>
        <v>4963.9680000000162</v>
      </c>
      <c r="M103" s="277">
        <f t="shared" si="7"/>
        <v>0</v>
      </c>
      <c r="N103" s="277">
        <f t="shared" si="8"/>
        <v>4963.9680000000162</v>
      </c>
    </row>
    <row r="104" spans="2:14">
      <c r="B104" s="281">
        <f t="shared" si="9"/>
        <v>9</v>
      </c>
      <c r="C104" s="281">
        <f t="shared" si="10"/>
        <v>11</v>
      </c>
      <c r="D104" s="558">
        <v>30</v>
      </c>
      <c r="E104" s="286"/>
      <c r="F104" s="286"/>
      <c r="G104" s="282">
        <f t="shared" si="11"/>
        <v>200160</v>
      </c>
      <c r="H104" s="283">
        <f>HLOOKUP($C104,'1'!$D$35:$O$38,3,FALSE)</f>
        <v>1.2</v>
      </c>
      <c r="I104" s="284">
        <f>HLOOKUP($C104,'1'!$D$35:$O$38,4,FALSE)</f>
        <v>0.98</v>
      </c>
      <c r="J104" s="282">
        <f>'1'!$E$42*D104*24</f>
        <v>200160</v>
      </c>
      <c r="K104" s="277">
        <f>(J104*'1'!$E$43)</f>
        <v>8006.4000000000005</v>
      </c>
      <c r="L104" s="277">
        <f t="shared" si="6"/>
        <v>4803.8400000000138</v>
      </c>
      <c r="M104" s="277">
        <f t="shared" si="7"/>
        <v>0</v>
      </c>
      <c r="N104" s="277">
        <f t="shared" si="8"/>
        <v>4803.8400000000138</v>
      </c>
    </row>
    <row r="105" spans="2:14">
      <c r="B105" s="281">
        <f t="shared" si="9"/>
        <v>9</v>
      </c>
      <c r="C105" s="281">
        <f t="shared" si="10"/>
        <v>12</v>
      </c>
      <c r="D105" s="558">
        <v>31</v>
      </c>
      <c r="E105" s="286"/>
      <c r="F105" s="286"/>
      <c r="G105" s="282">
        <f t="shared" si="11"/>
        <v>206832</v>
      </c>
      <c r="H105" s="283">
        <f>HLOOKUP($C105,'1'!$D$35:$O$38,3,FALSE)</f>
        <v>1.2</v>
      </c>
      <c r="I105" s="284">
        <f>HLOOKUP($C105,'1'!$D$35:$O$38,4,FALSE)</f>
        <v>0.98</v>
      </c>
      <c r="J105" s="282">
        <f>'1'!$E$42*D105*24</f>
        <v>206832</v>
      </c>
      <c r="K105" s="277">
        <f>(J105*'1'!$E$43)</f>
        <v>8273.2800000000007</v>
      </c>
      <c r="L105" s="277">
        <f t="shared" si="6"/>
        <v>4963.9680000000162</v>
      </c>
      <c r="M105" s="277">
        <f t="shared" si="7"/>
        <v>0</v>
      </c>
      <c r="N105" s="277">
        <f t="shared" si="8"/>
        <v>4963.9680000000162</v>
      </c>
    </row>
    <row r="106" spans="2:14">
      <c r="B106" s="281">
        <f t="shared" si="9"/>
        <v>10</v>
      </c>
      <c r="C106" s="281">
        <f t="shared" si="10"/>
        <v>1</v>
      </c>
      <c r="D106" s="558">
        <v>31</v>
      </c>
      <c r="E106" s="286"/>
      <c r="F106" s="286"/>
      <c r="G106" s="282">
        <f t="shared" si="11"/>
        <v>206832</v>
      </c>
      <c r="H106" s="283">
        <f>HLOOKUP($C106,'1'!$D$35:$O$38,3,FALSE)</f>
        <v>1.2</v>
      </c>
      <c r="I106" s="284">
        <f>HLOOKUP($C106,'1'!$D$35:$O$38,4,FALSE)</f>
        <v>0.98</v>
      </c>
      <c r="J106" s="282">
        <f>'1'!$E$42*D106*24</f>
        <v>206832</v>
      </c>
      <c r="K106" s="277">
        <f>(J106*'1'!$E$43)</f>
        <v>8273.2800000000007</v>
      </c>
      <c r="L106" s="277">
        <f t="shared" si="6"/>
        <v>4963.9680000000162</v>
      </c>
      <c r="M106" s="277">
        <f t="shared" si="7"/>
        <v>0</v>
      </c>
      <c r="N106" s="277">
        <f t="shared" si="8"/>
        <v>4963.9680000000162</v>
      </c>
    </row>
    <row r="107" spans="2:14">
      <c r="B107" s="281">
        <f t="shared" si="9"/>
        <v>10</v>
      </c>
      <c r="C107" s="281">
        <f t="shared" si="10"/>
        <v>2</v>
      </c>
      <c r="D107" s="558">
        <v>28.25</v>
      </c>
      <c r="E107" s="286"/>
      <c r="F107" s="286"/>
      <c r="G107" s="282">
        <f t="shared" si="11"/>
        <v>188484</v>
      </c>
      <c r="H107" s="283">
        <f>HLOOKUP($C107,'1'!$D$35:$O$38,3,FALSE)</f>
        <v>1.2</v>
      </c>
      <c r="I107" s="284">
        <f>HLOOKUP($C107,'1'!$D$35:$O$38,4,FALSE)</f>
        <v>0.98</v>
      </c>
      <c r="J107" s="282">
        <f>'1'!$E$42*D107*24</f>
        <v>188484</v>
      </c>
      <c r="K107" s="277">
        <f>(J107*'1'!$E$43)</f>
        <v>7539.3600000000006</v>
      </c>
      <c r="L107" s="277">
        <f t="shared" si="6"/>
        <v>4523.6159999999918</v>
      </c>
      <c r="M107" s="277">
        <f t="shared" si="7"/>
        <v>0</v>
      </c>
      <c r="N107" s="277">
        <f t="shared" si="8"/>
        <v>4523.6159999999918</v>
      </c>
    </row>
    <row r="108" spans="2:14">
      <c r="B108" s="281">
        <f t="shared" si="9"/>
        <v>10</v>
      </c>
      <c r="C108" s="281">
        <f t="shared" si="10"/>
        <v>3</v>
      </c>
      <c r="D108" s="558">
        <v>31</v>
      </c>
      <c r="E108" s="286"/>
      <c r="F108" s="286"/>
      <c r="G108" s="282">
        <f t="shared" si="11"/>
        <v>206832</v>
      </c>
      <c r="H108" s="283">
        <f>HLOOKUP($C108,'1'!$D$35:$O$38,3,FALSE)</f>
        <v>0.8</v>
      </c>
      <c r="I108" s="284">
        <f>HLOOKUP($C108,'1'!$D$35:$O$38,4,FALSE)</f>
        <v>0.98</v>
      </c>
      <c r="J108" s="282">
        <f>'1'!$E$42*D108*24</f>
        <v>206832</v>
      </c>
      <c r="K108" s="277">
        <f>(J108*'1'!$E$43)</f>
        <v>8273.2800000000007</v>
      </c>
      <c r="L108" s="277">
        <f t="shared" si="6"/>
        <v>3309.3120000000113</v>
      </c>
      <c r="M108" s="277">
        <f t="shared" si="7"/>
        <v>0</v>
      </c>
      <c r="N108" s="277">
        <f t="shared" si="8"/>
        <v>3309.3120000000113</v>
      </c>
    </row>
    <row r="109" spans="2:14">
      <c r="B109" s="281">
        <f t="shared" si="9"/>
        <v>10</v>
      </c>
      <c r="C109" s="281">
        <f t="shared" si="10"/>
        <v>4</v>
      </c>
      <c r="D109" s="558">
        <v>30</v>
      </c>
      <c r="E109" s="286"/>
      <c r="F109" s="286"/>
      <c r="G109" s="282">
        <f t="shared" si="11"/>
        <v>200160</v>
      </c>
      <c r="H109" s="283">
        <f>HLOOKUP($C109,'1'!$D$35:$O$38,3,FALSE)</f>
        <v>0.8</v>
      </c>
      <c r="I109" s="284">
        <f>HLOOKUP($C109,'1'!$D$35:$O$38,4,FALSE)</f>
        <v>0.98</v>
      </c>
      <c r="J109" s="282">
        <f>'1'!$E$42*D109*24</f>
        <v>200160</v>
      </c>
      <c r="K109" s="277">
        <f>(J109*'1'!$E$43)</f>
        <v>8006.4000000000005</v>
      </c>
      <c r="L109" s="277">
        <f t="shared" si="6"/>
        <v>3202.5600000000095</v>
      </c>
      <c r="M109" s="277">
        <f t="shared" si="7"/>
        <v>0</v>
      </c>
      <c r="N109" s="277">
        <f t="shared" si="8"/>
        <v>3202.5600000000095</v>
      </c>
    </row>
    <row r="110" spans="2:14">
      <c r="B110" s="281">
        <f t="shared" si="9"/>
        <v>10</v>
      </c>
      <c r="C110" s="281">
        <f t="shared" si="10"/>
        <v>5</v>
      </c>
      <c r="D110" s="558">
        <v>31</v>
      </c>
      <c r="E110" s="286"/>
      <c r="F110" s="286"/>
      <c r="G110" s="282">
        <f t="shared" si="11"/>
        <v>206832</v>
      </c>
      <c r="H110" s="283">
        <f>HLOOKUP($C110,'1'!$D$35:$O$38,3,FALSE)</f>
        <v>0.8</v>
      </c>
      <c r="I110" s="284">
        <f>HLOOKUP($C110,'1'!$D$35:$O$38,4,FALSE)</f>
        <v>0.98</v>
      </c>
      <c r="J110" s="282">
        <f>'1'!$E$42*D110*24</f>
        <v>206832</v>
      </c>
      <c r="K110" s="277">
        <f>(J110*'1'!$E$43)</f>
        <v>8273.2800000000007</v>
      </c>
      <c r="L110" s="277">
        <f t="shared" si="6"/>
        <v>3309.3120000000113</v>
      </c>
      <c r="M110" s="277">
        <f t="shared" si="7"/>
        <v>0</v>
      </c>
      <c r="N110" s="277">
        <f t="shared" si="8"/>
        <v>3309.3120000000113</v>
      </c>
    </row>
    <row r="111" spans="2:14">
      <c r="B111" s="281">
        <f t="shared" si="9"/>
        <v>10</v>
      </c>
      <c r="C111" s="281">
        <f t="shared" si="10"/>
        <v>6</v>
      </c>
      <c r="D111" s="558">
        <v>30</v>
      </c>
      <c r="E111" s="286"/>
      <c r="F111" s="286"/>
      <c r="G111" s="282">
        <f t="shared" si="11"/>
        <v>200160</v>
      </c>
      <c r="H111" s="283">
        <f>HLOOKUP($C111,'1'!$D$35:$O$38,3,FALSE)</f>
        <v>0.8</v>
      </c>
      <c r="I111" s="284">
        <f>HLOOKUP($C111,'1'!$D$35:$O$38,4,FALSE)</f>
        <v>0.98</v>
      </c>
      <c r="J111" s="282">
        <f>'1'!$E$42*D111*24</f>
        <v>200160</v>
      </c>
      <c r="K111" s="277">
        <f>(J111*'1'!$E$43)</f>
        <v>8006.4000000000005</v>
      </c>
      <c r="L111" s="277">
        <f t="shared" si="6"/>
        <v>3202.5600000000095</v>
      </c>
      <c r="M111" s="277">
        <f t="shared" si="7"/>
        <v>0</v>
      </c>
      <c r="N111" s="277">
        <f t="shared" si="8"/>
        <v>3202.5600000000095</v>
      </c>
    </row>
    <row r="112" spans="2:14">
      <c r="B112" s="281">
        <f t="shared" si="9"/>
        <v>10</v>
      </c>
      <c r="C112" s="281">
        <f t="shared" si="10"/>
        <v>7</v>
      </c>
      <c r="D112" s="558">
        <v>31</v>
      </c>
      <c r="E112" s="286"/>
      <c r="F112" s="286"/>
      <c r="G112" s="282">
        <f t="shared" si="11"/>
        <v>206832</v>
      </c>
      <c r="H112" s="283">
        <f>HLOOKUP($C112,'1'!$D$35:$O$38,3,FALSE)</f>
        <v>0.8</v>
      </c>
      <c r="I112" s="284">
        <f>HLOOKUP($C112,'1'!$D$35:$O$38,4,FALSE)</f>
        <v>0.98</v>
      </c>
      <c r="J112" s="282">
        <f>'1'!$E$42*D112*24</f>
        <v>206832</v>
      </c>
      <c r="K112" s="277">
        <f>(J112*'1'!$E$43)</f>
        <v>8273.2800000000007</v>
      </c>
      <c r="L112" s="277">
        <f t="shared" si="6"/>
        <v>3309.3120000000113</v>
      </c>
      <c r="M112" s="277">
        <f t="shared" si="7"/>
        <v>0</v>
      </c>
      <c r="N112" s="277">
        <f t="shared" si="8"/>
        <v>3309.3120000000113</v>
      </c>
    </row>
    <row r="113" spans="2:14">
      <c r="B113" s="281">
        <f t="shared" si="9"/>
        <v>10</v>
      </c>
      <c r="C113" s="281">
        <f t="shared" si="10"/>
        <v>8</v>
      </c>
      <c r="D113" s="558">
        <v>31</v>
      </c>
      <c r="E113" s="286"/>
      <c r="F113" s="286"/>
      <c r="G113" s="282">
        <f t="shared" si="11"/>
        <v>206832</v>
      </c>
      <c r="H113" s="283">
        <f>HLOOKUP($C113,'1'!$D$35:$O$38,3,FALSE)</f>
        <v>0.8</v>
      </c>
      <c r="I113" s="284">
        <f>HLOOKUP($C113,'1'!$D$35:$O$38,4,FALSE)</f>
        <v>0.98</v>
      </c>
      <c r="J113" s="282">
        <f>'1'!$E$42*D113*24</f>
        <v>206832</v>
      </c>
      <c r="K113" s="277">
        <f>(J113*'1'!$E$43)</f>
        <v>8273.2800000000007</v>
      </c>
      <c r="L113" s="277">
        <f t="shared" si="6"/>
        <v>3309.3120000000113</v>
      </c>
      <c r="M113" s="277">
        <f t="shared" si="7"/>
        <v>0</v>
      </c>
      <c r="N113" s="277">
        <f t="shared" si="8"/>
        <v>3309.3120000000113</v>
      </c>
    </row>
    <row r="114" spans="2:14">
      <c r="B114" s="281">
        <f t="shared" si="9"/>
        <v>10</v>
      </c>
      <c r="C114" s="281">
        <f t="shared" si="10"/>
        <v>9</v>
      </c>
      <c r="D114" s="558">
        <v>30</v>
      </c>
      <c r="E114" s="286"/>
      <c r="F114" s="286"/>
      <c r="G114" s="282">
        <f t="shared" si="11"/>
        <v>200160</v>
      </c>
      <c r="H114" s="283">
        <f>HLOOKUP($C114,'1'!$D$35:$O$38,3,FALSE)</f>
        <v>1.2</v>
      </c>
      <c r="I114" s="284">
        <f>HLOOKUP($C114,'1'!$D$35:$O$38,4,FALSE)</f>
        <v>0.98</v>
      </c>
      <c r="J114" s="282">
        <f>'1'!$E$42*D114*24</f>
        <v>200160</v>
      </c>
      <c r="K114" s="277">
        <f>(J114*'1'!$E$43)</f>
        <v>8006.4000000000005</v>
      </c>
      <c r="L114" s="277">
        <f t="shared" si="6"/>
        <v>4803.8400000000138</v>
      </c>
      <c r="M114" s="277">
        <f t="shared" si="7"/>
        <v>0</v>
      </c>
      <c r="N114" s="277">
        <f t="shared" si="8"/>
        <v>4803.8400000000138</v>
      </c>
    </row>
    <row r="115" spans="2:14">
      <c r="B115" s="281">
        <f t="shared" si="9"/>
        <v>10</v>
      </c>
      <c r="C115" s="281">
        <f t="shared" si="10"/>
        <v>10</v>
      </c>
      <c r="D115" s="558">
        <v>31</v>
      </c>
      <c r="E115" s="286"/>
      <c r="F115" s="286"/>
      <c r="G115" s="282">
        <f t="shared" si="11"/>
        <v>206832</v>
      </c>
      <c r="H115" s="283">
        <f>HLOOKUP($C115,'1'!$D$35:$O$38,3,FALSE)</f>
        <v>1.2</v>
      </c>
      <c r="I115" s="284">
        <f>HLOOKUP($C115,'1'!$D$35:$O$38,4,FALSE)</f>
        <v>0.98</v>
      </c>
      <c r="J115" s="282">
        <f>'1'!$E$42*D115*24</f>
        <v>206832</v>
      </c>
      <c r="K115" s="277">
        <f>(J115*'1'!$E$43)</f>
        <v>8273.2800000000007</v>
      </c>
      <c r="L115" s="277">
        <f t="shared" si="6"/>
        <v>4963.9680000000162</v>
      </c>
      <c r="M115" s="277">
        <f t="shared" si="7"/>
        <v>0</v>
      </c>
      <c r="N115" s="277">
        <f t="shared" si="8"/>
        <v>4963.9680000000162</v>
      </c>
    </row>
    <row r="116" spans="2:14">
      <c r="B116" s="281">
        <f t="shared" si="9"/>
        <v>10</v>
      </c>
      <c r="C116" s="281">
        <f t="shared" si="10"/>
        <v>11</v>
      </c>
      <c r="D116" s="558">
        <v>30</v>
      </c>
      <c r="E116" s="286"/>
      <c r="F116" s="286"/>
      <c r="G116" s="282">
        <f t="shared" si="11"/>
        <v>200160</v>
      </c>
      <c r="H116" s="283">
        <f>HLOOKUP($C116,'1'!$D$35:$O$38,3,FALSE)</f>
        <v>1.2</v>
      </c>
      <c r="I116" s="284">
        <f>HLOOKUP($C116,'1'!$D$35:$O$38,4,FALSE)</f>
        <v>0.98</v>
      </c>
      <c r="J116" s="282">
        <f>'1'!$E$42*D116*24</f>
        <v>200160</v>
      </c>
      <c r="K116" s="277">
        <f>(J116*'1'!$E$43)</f>
        <v>8006.4000000000005</v>
      </c>
      <c r="L116" s="277">
        <f t="shared" si="6"/>
        <v>4803.8400000000138</v>
      </c>
      <c r="M116" s="277">
        <f t="shared" si="7"/>
        <v>0</v>
      </c>
      <c r="N116" s="277">
        <f t="shared" si="8"/>
        <v>4803.8400000000138</v>
      </c>
    </row>
    <row r="117" spans="2:14">
      <c r="B117" s="281">
        <f t="shared" si="9"/>
        <v>10</v>
      </c>
      <c r="C117" s="281">
        <f t="shared" si="10"/>
        <v>12</v>
      </c>
      <c r="D117" s="558">
        <v>31</v>
      </c>
      <c r="E117" s="286"/>
      <c r="F117" s="286"/>
      <c r="G117" s="282">
        <f t="shared" si="11"/>
        <v>206832</v>
      </c>
      <c r="H117" s="283">
        <f>HLOOKUP($C117,'1'!$D$35:$O$38,3,FALSE)</f>
        <v>1.2</v>
      </c>
      <c r="I117" s="284">
        <f>HLOOKUP($C117,'1'!$D$35:$O$38,4,FALSE)</f>
        <v>0.98</v>
      </c>
      <c r="J117" s="282">
        <f>'1'!$E$42*D117*24</f>
        <v>206832</v>
      </c>
      <c r="K117" s="277">
        <f>(J117*'1'!$E$43)</f>
        <v>8273.2800000000007</v>
      </c>
      <c r="L117" s="277">
        <f t="shared" si="6"/>
        <v>4963.9680000000162</v>
      </c>
      <c r="M117" s="277">
        <f t="shared" si="7"/>
        <v>0</v>
      </c>
      <c r="N117" s="277">
        <f t="shared" si="8"/>
        <v>4963.9680000000162</v>
      </c>
    </row>
    <row r="118" spans="2:14">
      <c r="B118" s="281">
        <f t="shared" si="9"/>
        <v>11</v>
      </c>
      <c r="C118" s="281">
        <f t="shared" si="10"/>
        <v>1</v>
      </c>
      <c r="D118" s="558">
        <v>31</v>
      </c>
      <c r="E118" s="286"/>
      <c r="F118" s="286"/>
      <c r="G118" s="282">
        <f t="shared" si="11"/>
        <v>206832</v>
      </c>
      <c r="H118" s="283">
        <f>HLOOKUP($C118,'1'!$D$35:$O$38,3,FALSE)</f>
        <v>1.2</v>
      </c>
      <c r="I118" s="284">
        <f>HLOOKUP($C118,'1'!$D$35:$O$38,4,FALSE)</f>
        <v>0.98</v>
      </c>
      <c r="J118" s="282">
        <f>'1'!$E$42*D118*24</f>
        <v>206832</v>
      </c>
      <c r="K118" s="277">
        <f>(J118*'1'!$E$43)</f>
        <v>8273.2800000000007</v>
      </c>
      <c r="L118" s="277">
        <f t="shared" si="6"/>
        <v>4963.9680000000162</v>
      </c>
      <c r="M118" s="277">
        <f t="shared" si="7"/>
        <v>0</v>
      </c>
      <c r="N118" s="277">
        <f t="shared" si="8"/>
        <v>4963.9680000000162</v>
      </c>
    </row>
    <row r="119" spans="2:14">
      <c r="B119" s="281">
        <f t="shared" si="9"/>
        <v>11</v>
      </c>
      <c r="C119" s="281">
        <f t="shared" si="10"/>
        <v>2</v>
      </c>
      <c r="D119" s="558">
        <v>28.25</v>
      </c>
      <c r="E119" s="286"/>
      <c r="F119" s="286"/>
      <c r="G119" s="282">
        <f t="shared" si="11"/>
        <v>188484</v>
      </c>
      <c r="H119" s="283">
        <f>HLOOKUP($C119,'1'!$D$35:$O$38,3,FALSE)</f>
        <v>1.2</v>
      </c>
      <c r="I119" s="284">
        <f>HLOOKUP($C119,'1'!$D$35:$O$38,4,FALSE)</f>
        <v>0.98</v>
      </c>
      <c r="J119" s="282">
        <f>'1'!$E$42*D119*24</f>
        <v>188484</v>
      </c>
      <c r="K119" s="277">
        <f>(J119*'1'!$E$43)</f>
        <v>7539.3600000000006</v>
      </c>
      <c r="L119" s="277">
        <f t="shared" si="6"/>
        <v>4523.6159999999918</v>
      </c>
      <c r="M119" s="277">
        <f t="shared" si="7"/>
        <v>0</v>
      </c>
      <c r="N119" s="277">
        <f t="shared" si="8"/>
        <v>4523.6159999999918</v>
      </c>
    </row>
    <row r="120" spans="2:14">
      <c r="B120" s="281">
        <f t="shared" si="9"/>
        <v>11</v>
      </c>
      <c r="C120" s="281">
        <f t="shared" si="10"/>
        <v>3</v>
      </c>
      <c r="D120" s="558">
        <v>31</v>
      </c>
      <c r="E120" s="286"/>
      <c r="F120" s="286"/>
      <c r="G120" s="282">
        <f t="shared" si="11"/>
        <v>206832</v>
      </c>
      <c r="H120" s="283">
        <f>HLOOKUP($C120,'1'!$D$35:$O$38,3,FALSE)</f>
        <v>0.8</v>
      </c>
      <c r="I120" s="284">
        <f>HLOOKUP($C120,'1'!$D$35:$O$38,4,FALSE)</f>
        <v>0.98</v>
      </c>
      <c r="J120" s="282">
        <f>'1'!$E$42*D120*24</f>
        <v>206832</v>
      </c>
      <c r="K120" s="277">
        <f>(J120*'1'!$E$43)</f>
        <v>8273.2800000000007</v>
      </c>
      <c r="L120" s="277">
        <f t="shared" si="6"/>
        <v>3309.3120000000113</v>
      </c>
      <c r="M120" s="277">
        <f t="shared" si="7"/>
        <v>0</v>
      </c>
      <c r="N120" s="277">
        <f t="shared" si="8"/>
        <v>3309.3120000000113</v>
      </c>
    </row>
    <row r="121" spans="2:14">
      <c r="B121" s="281">
        <f t="shared" si="9"/>
        <v>11</v>
      </c>
      <c r="C121" s="281">
        <f t="shared" si="10"/>
        <v>4</v>
      </c>
      <c r="D121" s="558">
        <v>30</v>
      </c>
      <c r="E121" s="286"/>
      <c r="F121" s="286"/>
      <c r="G121" s="282">
        <f t="shared" si="11"/>
        <v>200160</v>
      </c>
      <c r="H121" s="283">
        <f>HLOOKUP($C121,'1'!$D$35:$O$38,3,FALSE)</f>
        <v>0.8</v>
      </c>
      <c r="I121" s="284">
        <f>HLOOKUP($C121,'1'!$D$35:$O$38,4,FALSE)</f>
        <v>0.98</v>
      </c>
      <c r="J121" s="282">
        <f>'1'!$E$42*D121*24</f>
        <v>200160</v>
      </c>
      <c r="K121" s="277">
        <f>(J121*'1'!$E$43)</f>
        <v>8006.4000000000005</v>
      </c>
      <c r="L121" s="277">
        <f t="shared" si="6"/>
        <v>3202.5600000000095</v>
      </c>
      <c r="M121" s="277">
        <f t="shared" si="7"/>
        <v>0</v>
      </c>
      <c r="N121" s="277">
        <f t="shared" si="8"/>
        <v>3202.5600000000095</v>
      </c>
    </row>
    <row r="122" spans="2:14">
      <c r="B122" s="281">
        <f t="shared" si="9"/>
        <v>11</v>
      </c>
      <c r="C122" s="281">
        <f t="shared" si="10"/>
        <v>5</v>
      </c>
      <c r="D122" s="558">
        <v>31</v>
      </c>
      <c r="E122" s="286"/>
      <c r="F122" s="286"/>
      <c r="G122" s="282">
        <f t="shared" si="11"/>
        <v>206832</v>
      </c>
      <c r="H122" s="283">
        <f>HLOOKUP($C122,'1'!$D$35:$O$38,3,FALSE)</f>
        <v>0.8</v>
      </c>
      <c r="I122" s="284">
        <f>HLOOKUP($C122,'1'!$D$35:$O$38,4,FALSE)</f>
        <v>0.98</v>
      </c>
      <c r="J122" s="282">
        <f>'1'!$E$42*D122*24</f>
        <v>206832</v>
      </c>
      <c r="K122" s="277">
        <f>(J122*'1'!$E$43)</f>
        <v>8273.2800000000007</v>
      </c>
      <c r="L122" s="277">
        <f t="shared" si="6"/>
        <v>3309.3120000000113</v>
      </c>
      <c r="M122" s="277">
        <f t="shared" si="7"/>
        <v>0</v>
      </c>
      <c r="N122" s="277">
        <f t="shared" si="8"/>
        <v>3309.3120000000113</v>
      </c>
    </row>
    <row r="123" spans="2:14">
      <c r="B123" s="281">
        <f t="shared" si="9"/>
        <v>11</v>
      </c>
      <c r="C123" s="281">
        <f t="shared" si="10"/>
        <v>6</v>
      </c>
      <c r="D123" s="558">
        <v>30</v>
      </c>
      <c r="E123" s="286"/>
      <c r="F123" s="286"/>
      <c r="G123" s="282">
        <f t="shared" si="11"/>
        <v>200160</v>
      </c>
      <c r="H123" s="283">
        <f>HLOOKUP($C123,'1'!$D$35:$O$38,3,FALSE)</f>
        <v>0.8</v>
      </c>
      <c r="I123" s="284">
        <f>HLOOKUP($C123,'1'!$D$35:$O$38,4,FALSE)</f>
        <v>0.98</v>
      </c>
      <c r="J123" s="282">
        <f>'1'!$E$42*D123*24</f>
        <v>200160</v>
      </c>
      <c r="K123" s="277">
        <f>(J123*'1'!$E$43)</f>
        <v>8006.4000000000005</v>
      </c>
      <c r="L123" s="277">
        <f t="shared" si="6"/>
        <v>3202.5600000000095</v>
      </c>
      <c r="M123" s="277">
        <f t="shared" si="7"/>
        <v>0</v>
      </c>
      <c r="N123" s="277">
        <f t="shared" si="8"/>
        <v>3202.5600000000095</v>
      </c>
    </row>
    <row r="124" spans="2:14">
      <c r="B124" s="281">
        <f t="shared" si="9"/>
        <v>11</v>
      </c>
      <c r="C124" s="281">
        <f t="shared" si="10"/>
        <v>7</v>
      </c>
      <c r="D124" s="558">
        <v>31</v>
      </c>
      <c r="E124" s="286"/>
      <c r="F124" s="286"/>
      <c r="G124" s="282">
        <f t="shared" si="11"/>
        <v>206832</v>
      </c>
      <c r="H124" s="283">
        <f>HLOOKUP($C124,'1'!$D$35:$O$38,3,FALSE)</f>
        <v>0.8</v>
      </c>
      <c r="I124" s="284">
        <f>HLOOKUP($C124,'1'!$D$35:$O$38,4,FALSE)</f>
        <v>0.98</v>
      </c>
      <c r="J124" s="282">
        <f>'1'!$E$42*D124*24</f>
        <v>206832</v>
      </c>
      <c r="K124" s="277">
        <f>(J124*'1'!$E$43)</f>
        <v>8273.2800000000007</v>
      </c>
      <c r="L124" s="277">
        <f t="shared" si="6"/>
        <v>3309.3120000000113</v>
      </c>
      <c r="M124" s="277">
        <f t="shared" si="7"/>
        <v>0</v>
      </c>
      <c r="N124" s="277">
        <f t="shared" si="8"/>
        <v>3309.3120000000113</v>
      </c>
    </row>
    <row r="125" spans="2:14">
      <c r="B125" s="281">
        <f t="shared" si="9"/>
        <v>11</v>
      </c>
      <c r="C125" s="281">
        <f t="shared" si="10"/>
        <v>8</v>
      </c>
      <c r="D125" s="558">
        <v>31</v>
      </c>
      <c r="E125" s="286"/>
      <c r="F125" s="286"/>
      <c r="G125" s="282">
        <f t="shared" si="11"/>
        <v>206832</v>
      </c>
      <c r="H125" s="283">
        <f>HLOOKUP($C125,'1'!$D$35:$O$38,3,FALSE)</f>
        <v>0.8</v>
      </c>
      <c r="I125" s="284">
        <f>HLOOKUP($C125,'1'!$D$35:$O$38,4,FALSE)</f>
        <v>0.98</v>
      </c>
      <c r="J125" s="282">
        <f>'1'!$E$42*D125*24</f>
        <v>206832</v>
      </c>
      <c r="K125" s="277">
        <f>(J125*'1'!$E$43)</f>
        <v>8273.2800000000007</v>
      </c>
      <c r="L125" s="277">
        <f t="shared" si="6"/>
        <v>3309.3120000000113</v>
      </c>
      <c r="M125" s="277">
        <f t="shared" si="7"/>
        <v>0</v>
      </c>
      <c r="N125" s="277">
        <f t="shared" si="8"/>
        <v>3309.3120000000113</v>
      </c>
    </row>
    <row r="126" spans="2:14">
      <c r="B126" s="281">
        <f t="shared" si="9"/>
        <v>11</v>
      </c>
      <c r="C126" s="281">
        <f t="shared" si="10"/>
        <v>9</v>
      </c>
      <c r="D126" s="558">
        <v>30</v>
      </c>
      <c r="E126" s="286"/>
      <c r="F126" s="286"/>
      <c r="G126" s="282">
        <f t="shared" si="11"/>
        <v>200160</v>
      </c>
      <c r="H126" s="283">
        <f>HLOOKUP($C126,'1'!$D$35:$O$38,3,FALSE)</f>
        <v>1.2</v>
      </c>
      <c r="I126" s="284">
        <f>HLOOKUP($C126,'1'!$D$35:$O$38,4,FALSE)</f>
        <v>0.98</v>
      </c>
      <c r="J126" s="282">
        <f>'1'!$E$42*D126*24</f>
        <v>200160</v>
      </c>
      <c r="K126" s="277">
        <f>(J126*'1'!$E$43)</f>
        <v>8006.4000000000005</v>
      </c>
      <c r="L126" s="277">
        <f t="shared" si="6"/>
        <v>4803.8400000000138</v>
      </c>
      <c r="M126" s="277">
        <f t="shared" si="7"/>
        <v>0</v>
      </c>
      <c r="N126" s="277">
        <f t="shared" si="8"/>
        <v>4803.8400000000138</v>
      </c>
    </row>
    <row r="127" spans="2:14">
      <c r="B127" s="281">
        <f t="shared" si="9"/>
        <v>11</v>
      </c>
      <c r="C127" s="281">
        <f t="shared" si="10"/>
        <v>10</v>
      </c>
      <c r="D127" s="558">
        <v>31</v>
      </c>
      <c r="E127" s="286"/>
      <c r="F127" s="286"/>
      <c r="G127" s="282">
        <f t="shared" si="11"/>
        <v>206832</v>
      </c>
      <c r="H127" s="283">
        <f>HLOOKUP($C127,'1'!$D$35:$O$38,3,FALSE)</f>
        <v>1.2</v>
      </c>
      <c r="I127" s="284">
        <f>HLOOKUP($C127,'1'!$D$35:$O$38,4,FALSE)</f>
        <v>0.98</v>
      </c>
      <c r="J127" s="282">
        <f>'1'!$E$42*D127*24</f>
        <v>206832</v>
      </c>
      <c r="K127" s="277">
        <f>(J127*'1'!$E$43)</f>
        <v>8273.2800000000007</v>
      </c>
      <c r="L127" s="277">
        <f t="shared" si="6"/>
        <v>4963.9680000000162</v>
      </c>
      <c r="M127" s="277">
        <f t="shared" si="7"/>
        <v>0</v>
      </c>
      <c r="N127" s="277">
        <f t="shared" si="8"/>
        <v>4963.9680000000162</v>
      </c>
    </row>
    <row r="128" spans="2:14">
      <c r="B128" s="281">
        <f t="shared" si="9"/>
        <v>11</v>
      </c>
      <c r="C128" s="281">
        <f t="shared" si="10"/>
        <v>11</v>
      </c>
      <c r="D128" s="558">
        <v>30</v>
      </c>
      <c r="E128" s="286"/>
      <c r="F128" s="286"/>
      <c r="G128" s="282">
        <f t="shared" si="11"/>
        <v>200160</v>
      </c>
      <c r="H128" s="283">
        <f>HLOOKUP($C128,'1'!$D$35:$O$38,3,FALSE)</f>
        <v>1.2</v>
      </c>
      <c r="I128" s="284">
        <f>HLOOKUP($C128,'1'!$D$35:$O$38,4,FALSE)</f>
        <v>0.98</v>
      </c>
      <c r="J128" s="282">
        <f>'1'!$E$42*D128*24</f>
        <v>200160</v>
      </c>
      <c r="K128" s="277">
        <f>(J128*'1'!$E$43)</f>
        <v>8006.4000000000005</v>
      </c>
      <c r="L128" s="277">
        <f t="shared" si="6"/>
        <v>4803.8400000000138</v>
      </c>
      <c r="M128" s="277">
        <f t="shared" si="7"/>
        <v>0</v>
      </c>
      <c r="N128" s="277">
        <f t="shared" si="8"/>
        <v>4803.8400000000138</v>
      </c>
    </row>
    <row r="129" spans="2:14">
      <c r="B129" s="281">
        <f t="shared" si="9"/>
        <v>11</v>
      </c>
      <c r="C129" s="281">
        <f t="shared" si="10"/>
        <v>12</v>
      </c>
      <c r="D129" s="558">
        <v>31</v>
      </c>
      <c r="E129" s="286"/>
      <c r="F129" s="286"/>
      <c r="G129" s="282">
        <f t="shared" si="11"/>
        <v>206832</v>
      </c>
      <c r="H129" s="283">
        <f>HLOOKUP($C129,'1'!$D$35:$O$38,3,FALSE)</f>
        <v>1.2</v>
      </c>
      <c r="I129" s="284">
        <f>HLOOKUP($C129,'1'!$D$35:$O$38,4,FALSE)</f>
        <v>0.98</v>
      </c>
      <c r="J129" s="282">
        <f>'1'!$E$42*D129*24</f>
        <v>206832</v>
      </c>
      <c r="K129" s="277">
        <f>(J129*'1'!$E$43)</f>
        <v>8273.2800000000007</v>
      </c>
      <c r="L129" s="277">
        <f t="shared" si="6"/>
        <v>4963.9680000000162</v>
      </c>
      <c r="M129" s="277">
        <f t="shared" si="7"/>
        <v>0</v>
      </c>
      <c r="N129" s="277">
        <f t="shared" si="8"/>
        <v>4963.9680000000162</v>
      </c>
    </row>
    <row r="130" spans="2:14">
      <c r="B130" s="281">
        <f t="shared" si="9"/>
        <v>12</v>
      </c>
      <c r="C130" s="281">
        <f t="shared" si="10"/>
        <v>1</v>
      </c>
      <c r="D130" s="558">
        <v>31</v>
      </c>
      <c r="E130" s="286"/>
      <c r="F130" s="286"/>
      <c r="G130" s="282">
        <f t="shared" si="11"/>
        <v>206832</v>
      </c>
      <c r="H130" s="283">
        <f>HLOOKUP($C130,'1'!$D$35:$O$38,3,FALSE)</f>
        <v>1.2</v>
      </c>
      <c r="I130" s="284">
        <f>HLOOKUP($C130,'1'!$D$35:$O$38,4,FALSE)</f>
        <v>0.98</v>
      </c>
      <c r="J130" s="282">
        <f>'1'!$E$42*D130*24</f>
        <v>206832</v>
      </c>
      <c r="K130" s="277">
        <f>(J130*'1'!$E$43)</f>
        <v>8273.2800000000007</v>
      </c>
      <c r="L130" s="277">
        <f t="shared" si="6"/>
        <v>4963.9680000000162</v>
      </c>
      <c r="M130" s="277">
        <f t="shared" si="7"/>
        <v>0</v>
      </c>
      <c r="N130" s="277">
        <f t="shared" si="8"/>
        <v>4963.9680000000162</v>
      </c>
    </row>
    <row r="131" spans="2:14">
      <c r="B131" s="281">
        <f t="shared" si="9"/>
        <v>12</v>
      </c>
      <c r="C131" s="281">
        <f t="shared" si="10"/>
        <v>2</v>
      </c>
      <c r="D131" s="558">
        <v>28.25</v>
      </c>
      <c r="E131" s="286"/>
      <c r="F131" s="286"/>
      <c r="G131" s="282">
        <f t="shared" si="11"/>
        <v>188484</v>
      </c>
      <c r="H131" s="283">
        <f>HLOOKUP($C131,'1'!$D$35:$O$38,3,FALSE)</f>
        <v>1.2</v>
      </c>
      <c r="I131" s="284">
        <f>HLOOKUP($C131,'1'!$D$35:$O$38,4,FALSE)</f>
        <v>0.98</v>
      </c>
      <c r="J131" s="282">
        <f>'1'!$E$42*D131*24</f>
        <v>188484</v>
      </c>
      <c r="K131" s="277">
        <f>(J131*'1'!$E$43)</f>
        <v>7539.3600000000006</v>
      </c>
      <c r="L131" s="277">
        <f t="shared" si="6"/>
        <v>4523.6159999999918</v>
      </c>
      <c r="M131" s="277">
        <f t="shared" si="7"/>
        <v>0</v>
      </c>
      <c r="N131" s="277">
        <f t="shared" si="8"/>
        <v>4523.6159999999918</v>
      </c>
    </row>
    <row r="132" spans="2:14">
      <c r="B132" s="281">
        <f t="shared" si="9"/>
        <v>12</v>
      </c>
      <c r="C132" s="281">
        <f t="shared" si="10"/>
        <v>3</v>
      </c>
      <c r="D132" s="558">
        <v>31</v>
      </c>
      <c r="E132" s="286"/>
      <c r="F132" s="286"/>
      <c r="G132" s="282">
        <f t="shared" si="11"/>
        <v>206832</v>
      </c>
      <c r="H132" s="283">
        <f>HLOOKUP($C132,'1'!$D$35:$O$38,3,FALSE)</f>
        <v>0.8</v>
      </c>
      <c r="I132" s="284">
        <f>HLOOKUP($C132,'1'!$D$35:$O$38,4,FALSE)</f>
        <v>0.98</v>
      </c>
      <c r="J132" s="282">
        <f>'1'!$E$42*D132*24</f>
        <v>206832</v>
      </c>
      <c r="K132" s="277">
        <f>(J132*'1'!$E$43)</f>
        <v>8273.2800000000007</v>
      </c>
      <c r="L132" s="277">
        <f t="shared" si="6"/>
        <v>3309.3120000000113</v>
      </c>
      <c r="M132" s="277">
        <f t="shared" si="7"/>
        <v>0</v>
      </c>
      <c r="N132" s="277">
        <f t="shared" si="8"/>
        <v>3309.3120000000113</v>
      </c>
    </row>
    <row r="133" spans="2:14">
      <c r="B133" s="281">
        <f t="shared" si="9"/>
        <v>12</v>
      </c>
      <c r="C133" s="281">
        <f t="shared" si="10"/>
        <v>4</v>
      </c>
      <c r="D133" s="558">
        <v>30</v>
      </c>
      <c r="E133" s="286"/>
      <c r="F133" s="286"/>
      <c r="G133" s="282">
        <f t="shared" si="11"/>
        <v>200160</v>
      </c>
      <c r="H133" s="283">
        <f>HLOOKUP($C133,'1'!$D$35:$O$38,3,FALSE)</f>
        <v>0.8</v>
      </c>
      <c r="I133" s="284">
        <f>HLOOKUP($C133,'1'!$D$35:$O$38,4,FALSE)</f>
        <v>0.98</v>
      </c>
      <c r="J133" s="282">
        <f>'1'!$E$42*D133*24</f>
        <v>200160</v>
      </c>
      <c r="K133" s="277">
        <f>(J133*'1'!$E$43)</f>
        <v>8006.4000000000005</v>
      </c>
      <c r="L133" s="277">
        <f t="shared" si="6"/>
        <v>3202.5600000000095</v>
      </c>
      <c r="M133" s="277">
        <f t="shared" si="7"/>
        <v>0</v>
      </c>
      <c r="N133" s="277">
        <f t="shared" si="8"/>
        <v>3202.5600000000095</v>
      </c>
    </row>
    <row r="134" spans="2:14">
      <c r="B134" s="281">
        <f t="shared" si="9"/>
        <v>12</v>
      </c>
      <c r="C134" s="281">
        <f t="shared" si="10"/>
        <v>5</v>
      </c>
      <c r="D134" s="558">
        <v>31</v>
      </c>
      <c r="E134" s="286"/>
      <c r="F134" s="286"/>
      <c r="G134" s="282">
        <f t="shared" si="11"/>
        <v>206832</v>
      </c>
      <c r="H134" s="283">
        <f>HLOOKUP($C134,'1'!$D$35:$O$38,3,FALSE)</f>
        <v>0.8</v>
      </c>
      <c r="I134" s="284">
        <f>HLOOKUP($C134,'1'!$D$35:$O$38,4,FALSE)</f>
        <v>0.98</v>
      </c>
      <c r="J134" s="282">
        <f>'1'!$E$42*D134*24</f>
        <v>206832</v>
      </c>
      <c r="K134" s="277">
        <f>(J134*'1'!$E$43)</f>
        <v>8273.2800000000007</v>
      </c>
      <c r="L134" s="277">
        <f t="shared" si="6"/>
        <v>3309.3120000000113</v>
      </c>
      <c r="M134" s="277">
        <f t="shared" si="7"/>
        <v>0</v>
      </c>
      <c r="N134" s="277">
        <f t="shared" si="8"/>
        <v>3309.3120000000113</v>
      </c>
    </row>
    <row r="135" spans="2:14">
      <c r="B135" s="281">
        <f t="shared" si="9"/>
        <v>12</v>
      </c>
      <c r="C135" s="281">
        <f t="shared" si="10"/>
        <v>6</v>
      </c>
      <c r="D135" s="558">
        <v>30</v>
      </c>
      <c r="E135" s="286"/>
      <c r="F135" s="286"/>
      <c r="G135" s="282">
        <f t="shared" si="11"/>
        <v>200160</v>
      </c>
      <c r="H135" s="283">
        <f>HLOOKUP($C135,'1'!$D$35:$O$38,3,FALSE)</f>
        <v>0.8</v>
      </c>
      <c r="I135" s="284">
        <f>HLOOKUP($C135,'1'!$D$35:$O$38,4,FALSE)</f>
        <v>0.98</v>
      </c>
      <c r="J135" s="282">
        <f>'1'!$E$42*D135*24</f>
        <v>200160</v>
      </c>
      <c r="K135" s="277">
        <f>(J135*'1'!$E$43)</f>
        <v>8006.4000000000005</v>
      </c>
      <c r="L135" s="277">
        <f t="shared" si="6"/>
        <v>3202.5600000000095</v>
      </c>
      <c r="M135" s="277">
        <f t="shared" si="7"/>
        <v>0</v>
      </c>
      <c r="N135" s="277">
        <f t="shared" si="8"/>
        <v>3202.5600000000095</v>
      </c>
    </row>
    <row r="136" spans="2:14">
      <c r="B136" s="281">
        <f t="shared" si="9"/>
        <v>12</v>
      </c>
      <c r="C136" s="281">
        <f t="shared" si="10"/>
        <v>7</v>
      </c>
      <c r="D136" s="558">
        <v>31</v>
      </c>
      <c r="E136" s="286"/>
      <c r="F136" s="286"/>
      <c r="G136" s="282">
        <f t="shared" si="11"/>
        <v>206832</v>
      </c>
      <c r="H136" s="283">
        <f>HLOOKUP($C136,'1'!$D$35:$O$38,3,FALSE)</f>
        <v>0.8</v>
      </c>
      <c r="I136" s="284">
        <f>HLOOKUP($C136,'1'!$D$35:$O$38,4,FALSE)</f>
        <v>0.98</v>
      </c>
      <c r="J136" s="282">
        <f>'1'!$E$42*D136*24</f>
        <v>206832</v>
      </c>
      <c r="K136" s="277">
        <f>(J136*'1'!$E$43)</f>
        <v>8273.2800000000007</v>
      </c>
      <c r="L136" s="277">
        <f t="shared" si="6"/>
        <v>3309.3120000000113</v>
      </c>
      <c r="M136" s="277">
        <f t="shared" si="7"/>
        <v>0</v>
      </c>
      <c r="N136" s="277">
        <f t="shared" si="8"/>
        <v>3309.3120000000113</v>
      </c>
    </row>
    <row r="137" spans="2:14">
      <c r="B137" s="281">
        <f t="shared" si="9"/>
        <v>12</v>
      </c>
      <c r="C137" s="281">
        <f t="shared" si="10"/>
        <v>8</v>
      </c>
      <c r="D137" s="558">
        <v>31</v>
      </c>
      <c r="E137" s="286"/>
      <c r="F137" s="286"/>
      <c r="G137" s="282">
        <f t="shared" si="11"/>
        <v>206832</v>
      </c>
      <c r="H137" s="283">
        <f>HLOOKUP($C137,'1'!$D$35:$O$38,3,FALSE)</f>
        <v>0.8</v>
      </c>
      <c r="I137" s="284">
        <f>HLOOKUP($C137,'1'!$D$35:$O$38,4,FALSE)</f>
        <v>0.98</v>
      </c>
      <c r="J137" s="282">
        <f>'1'!$E$42*D137*24</f>
        <v>206832</v>
      </c>
      <c r="K137" s="277">
        <f>(J137*'1'!$E$43)</f>
        <v>8273.2800000000007</v>
      </c>
      <c r="L137" s="277">
        <f t="shared" si="6"/>
        <v>3309.3120000000113</v>
      </c>
      <c r="M137" s="277">
        <f t="shared" si="7"/>
        <v>0</v>
      </c>
      <c r="N137" s="277">
        <f t="shared" si="8"/>
        <v>3309.3120000000113</v>
      </c>
    </row>
    <row r="138" spans="2:14">
      <c r="B138" s="281">
        <f t="shared" si="9"/>
        <v>12</v>
      </c>
      <c r="C138" s="281">
        <f t="shared" si="10"/>
        <v>9</v>
      </c>
      <c r="D138" s="558">
        <v>30</v>
      </c>
      <c r="E138" s="286"/>
      <c r="F138" s="286"/>
      <c r="G138" s="282">
        <f t="shared" si="11"/>
        <v>200160</v>
      </c>
      <c r="H138" s="283">
        <f>HLOOKUP($C138,'1'!$D$35:$O$38,3,FALSE)</f>
        <v>1.2</v>
      </c>
      <c r="I138" s="284">
        <f>HLOOKUP($C138,'1'!$D$35:$O$38,4,FALSE)</f>
        <v>0.98</v>
      </c>
      <c r="J138" s="282">
        <f>'1'!$E$42*D138*24</f>
        <v>200160</v>
      </c>
      <c r="K138" s="277">
        <f>(J138*'1'!$E$43)</f>
        <v>8006.4000000000005</v>
      </c>
      <c r="L138" s="277">
        <f t="shared" ref="L138:L201" si="12">(G138-(J138*I138))*H138</f>
        <v>4803.8400000000138</v>
      </c>
      <c r="M138" s="277">
        <f t="shared" ref="M138:M201" si="13">IF(L138&lt;0,L138,0)</f>
        <v>0</v>
      </c>
      <c r="N138" s="277">
        <f t="shared" ref="N138:N201" si="14">IF(L138&gt;0,L138,0)</f>
        <v>4803.8400000000138</v>
      </c>
    </row>
    <row r="139" spans="2:14">
      <c r="B139" s="281">
        <f t="shared" ref="B139:B202" si="15">IF(C139=1,B138+1,B138)</f>
        <v>12</v>
      </c>
      <c r="C139" s="281">
        <f t="shared" ref="C139:C202" si="16">IF(C138=12,1,C138+1)</f>
        <v>10</v>
      </c>
      <c r="D139" s="558">
        <v>31</v>
      </c>
      <c r="E139" s="286"/>
      <c r="F139" s="286"/>
      <c r="G139" s="282">
        <f t="shared" ref="G139:G202" si="17">J139-(E139+F139)</f>
        <v>206832</v>
      </c>
      <c r="H139" s="283">
        <f>HLOOKUP($C139,'1'!$D$35:$O$38,3,FALSE)</f>
        <v>1.2</v>
      </c>
      <c r="I139" s="284">
        <f>HLOOKUP($C139,'1'!$D$35:$O$38,4,FALSE)</f>
        <v>0.98</v>
      </c>
      <c r="J139" s="282">
        <f>'1'!$E$42*D139*24</f>
        <v>206832</v>
      </c>
      <c r="K139" s="277">
        <f>(J139*'1'!$E$43)</f>
        <v>8273.2800000000007</v>
      </c>
      <c r="L139" s="277">
        <f t="shared" si="12"/>
        <v>4963.9680000000162</v>
      </c>
      <c r="M139" s="277">
        <f t="shared" si="13"/>
        <v>0</v>
      </c>
      <c r="N139" s="277">
        <f t="shared" si="14"/>
        <v>4963.9680000000162</v>
      </c>
    </row>
    <row r="140" spans="2:14">
      <c r="B140" s="281">
        <f t="shared" si="15"/>
        <v>12</v>
      </c>
      <c r="C140" s="281">
        <f t="shared" si="16"/>
        <v>11</v>
      </c>
      <c r="D140" s="558">
        <v>30</v>
      </c>
      <c r="E140" s="286"/>
      <c r="F140" s="286"/>
      <c r="G140" s="282">
        <f t="shared" si="17"/>
        <v>200160</v>
      </c>
      <c r="H140" s="283">
        <f>HLOOKUP($C140,'1'!$D$35:$O$38,3,FALSE)</f>
        <v>1.2</v>
      </c>
      <c r="I140" s="284">
        <f>HLOOKUP($C140,'1'!$D$35:$O$38,4,FALSE)</f>
        <v>0.98</v>
      </c>
      <c r="J140" s="282">
        <f>'1'!$E$42*D140*24</f>
        <v>200160</v>
      </c>
      <c r="K140" s="277">
        <f>(J140*'1'!$E$43)</f>
        <v>8006.4000000000005</v>
      </c>
      <c r="L140" s="277">
        <f t="shared" si="12"/>
        <v>4803.8400000000138</v>
      </c>
      <c r="M140" s="277">
        <f t="shared" si="13"/>
        <v>0</v>
      </c>
      <c r="N140" s="277">
        <f t="shared" si="14"/>
        <v>4803.8400000000138</v>
      </c>
    </row>
    <row r="141" spans="2:14">
      <c r="B141" s="281">
        <f t="shared" si="15"/>
        <v>12</v>
      </c>
      <c r="C141" s="281">
        <f t="shared" si="16"/>
        <v>12</v>
      </c>
      <c r="D141" s="558">
        <v>31</v>
      </c>
      <c r="E141" s="286"/>
      <c r="F141" s="286"/>
      <c r="G141" s="282">
        <f t="shared" si="17"/>
        <v>206832</v>
      </c>
      <c r="H141" s="283">
        <f>HLOOKUP($C141,'1'!$D$35:$O$38,3,FALSE)</f>
        <v>1.2</v>
      </c>
      <c r="I141" s="284">
        <f>HLOOKUP($C141,'1'!$D$35:$O$38,4,FALSE)</f>
        <v>0.98</v>
      </c>
      <c r="J141" s="282">
        <f>'1'!$E$42*D141*24</f>
        <v>206832</v>
      </c>
      <c r="K141" s="277">
        <f>(J141*'1'!$E$43)</f>
        <v>8273.2800000000007</v>
      </c>
      <c r="L141" s="277">
        <f t="shared" si="12"/>
        <v>4963.9680000000162</v>
      </c>
      <c r="M141" s="277">
        <f t="shared" si="13"/>
        <v>0</v>
      </c>
      <c r="N141" s="277">
        <f t="shared" si="14"/>
        <v>4963.9680000000162</v>
      </c>
    </row>
    <row r="142" spans="2:14">
      <c r="B142" s="281">
        <f t="shared" si="15"/>
        <v>13</v>
      </c>
      <c r="C142" s="281">
        <f t="shared" si="16"/>
        <v>1</v>
      </c>
      <c r="D142" s="558">
        <v>31</v>
      </c>
      <c r="E142" s="286"/>
      <c r="F142" s="286"/>
      <c r="G142" s="282">
        <f t="shared" si="17"/>
        <v>206832</v>
      </c>
      <c r="H142" s="283">
        <f>HLOOKUP($C142,'1'!$D$35:$O$38,3,FALSE)</f>
        <v>1.2</v>
      </c>
      <c r="I142" s="284">
        <f>HLOOKUP($C142,'1'!$D$35:$O$38,4,FALSE)</f>
        <v>0.98</v>
      </c>
      <c r="J142" s="282">
        <f>'1'!$E$42*D142*24</f>
        <v>206832</v>
      </c>
      <c r="K142" s="277">
        <f>(J142*'1'!$E$43)</f>
        <v>8273.2800000000007</v>
      </c>
      <c r="L142" s="277">
        <f t="shared" si="12"/>
        <v>4963.9680000000162</v>
      </c>
      <c r="M142" s="277">
        <f t="shared" si="13"/>
        <v>0</v>
      </c>
      <c r="N142" s="277">
        <f t="shared" si="14"/>
        <v>4963.9680000000162</v>
      </c>
    </row>
    <row r="143" spans="2:14">
      <c r="B143" s="281">
        <f t="shared" si="15"/>
        <v>13</v>
      </c>
      <c r="C143" s="281">
        <f t="shared" si="16"/>
        <v>2</v>
      </c>
      <c r="D143" s="558">
        <v>28.25</v>
      </c>
      <c r="E143" s="286"/>
      <c r="F143" s="286"/>
      <c r="G143" s="282">
        <f t="shared" si="17"/>
        <v>188484</v>
      </c>
      <c r="H143" s="283">
        <f>HLOOKUP($C143,'1'!$D$35:$O$38,3,FALSE)</f>
        <v>1.2</v>
      </c>
      <c r="I143" s="284">
        <f>HLOOKUP($C143,'1'!$D$35:$O$38,4,FALSE)</f>
        <v>0.98</v>
      </c>
      <c r="J143" s="282">
        <f>'1'!$E$42*D143*24</f>
        <v>188484</v>
      </c>
      <c r="K143" s="277">
        <f>(J143*'1'!$E$43)</f>
        <v>7539.3600000000006</v>
      </c>
      <c r="L143" s="277">
        <f t="shared" si="12"/>
        <v>4523.6159999999918</v>
      </c>
      <c r="M143" s="277">
        <f t="shared" si="13"/>
        <v>0</v>
      </c>
      <c r="N143" s="277">
        <f t="shared" si="14"/>
        <v>4523.6159999999918</v>
      </c>
    </row>
    <row r="144" spans="2:14">
      <c r="B144" s="281">
        <f t="shared" si="15"/>
        <v>13</v>
      </c>
      <c r="C144" s="281">
        <f t="shared" si="16"/>
        <v>3</v>
      </c>
      <c r="D144" s="558">
        <v>31</v>
      </c>
      <c r="E144" s="286"/>
      <c r="F144" s="286"/>
      <c r="G144" s="282">
        <f t="shared" si="17"/>
        <v>206832</v>
      </c>
      <c r="H144" s="283">
        <f>HLOOKUP($C144,'1'!$D$35:$O$38,3,FALSE)</f>
        <v>0.8</v>
      </c>
      <c r="I144" s="284">
        <f>HLOOKUP($C144,'1'!$D$35:$O$38,4,FALSE)</f>
        <v>0.98</v>
      </c>
      <c r="J144" s="282">
        <f>'1'!$E$42*D144*24</f>
        <v>206832</v>
      </c>
      <c r="K144" s="277">
        <f>(J144*'1'!$E$43)</f>
        <v>8273.2800000000007</v>
      </c>
      <c r="L144" s="277">
        <f t="shared" si="12"/>
        <v>3309.3120000000113</v>
      </c>
      <c r="M144" s="277">
        <f t="shared" si="13"/>
        <v>0</v>
      </c>
      <c r="N144" s="277">
        <f t="shared" si="14"/>
        <v>3309.3120000000113</v>
      </c>
    </row>
    <row r="145" spans="2:14">
      <c r="B145" s="281">
        <f t="shared" si="15"/>
        <v>13</v>
      </c>
      <c r="C145" s="281">
        <f t="shared" si="16"/>
        <v>4</v>
      </c>
      <c r="D145" s="558">
        <v>30</v>
      </c>
      <c r="E145" s="286"/>
      <c r="F145" s="286"/>
      <c r="G145" s="282">
        <f t="shared" si="17"/>
        <v>200160</v>
      </c>
      <c r="H145" s="283">
        <f>HLOOKUP($C145,'1'!$D$35:$O$38,3,FALSE)</f>
        <v>0.8</v>
      </c>
      <c r="I145" s="284">
        <f>HLOOKUP($C145,'1'!$D$35:$O$38,4,FALSE)</f>
        <v>0.98</v>
      </c>
      <c r="J145" s="282">
        <f>'1'!$E$42*D145*24</f>
        <v>200160</v>
      </c>
      <c r="K145" s="277">
        <f>(J145*'1'!$E$43)</f>
        <v>8006.4000000000005</v>
      </c>
      <c r="L145" s="277">
        <f t="shared" si="12"/>
        <v>3202.5600000000095</v>
      </c>
      <c r="M145" s="277">
        <f t="shared" si="13"/>
        <v>0</v>
      </c>
      <c r="N145" s="277">
        <f t="shared" si="14"/>
        <v>3202.5600000000095</v>
      </c>
    </row>
    <row r="146" spans="2:14">
      <c r="B146" s="281">
        <f t="shared" si="15"/>
        <v>13</v>
      </c>
      <c r="C146" s="281">
        <f t="shared" si="16"/>
        <v>5</v>
      </c>
      <c r="D146" s="558">
        <v>31</v>
      </c>
      <c r="E146" s="286"/>
      <c r="F146" s="286"/>
      <c r="G146" s="282">
        <f t="shared" si="17"/>
        <v>206832</v>
      </c>
      <c r="H146" s="283">
        <f>HLOOKUP($C146,'1'!$D$35:$O$38,3,FALSE)</f>
        <v>0.8</v>
      </c>
      <c r="I146" s="284">
        <f>HLOOKUP($C146,'1'!$D$35:$O$38,4,FALSE)</f>
        <v>0.98</v>
      </c>
      <c r="J146" s="282">
        <f>'1'!$E$42*D146*24</f>
        <v>206832</v>
      </c>
      <c r="K146" s="277">
        <f>(J146*'1'!$E$43)</f>
        <v>8273.2800000000007</v>
      </c>
      <c r="L146" s="277">
        <f t="shared" si="12"/>
        <v>3309.3120000000113</v>
      </c>
      <c r="M146" s="277">
        <f t="shared" si="13"/>
        <v>0</v>
      </c>
      <c r="N146" s="277">
        <f t="shared" si="14"/>
        <v>3309.3120000000113</v>
      </c>
    </row>
    <row r="147" spans="2:14">
      <c r="B147" s="281">
        <f t="shared" si="15"/>
        <v>13</v>
      </c>
      <c r="C147" s="281">
        <f t="shared" si="16"/>
        <v>6</v>
      </c>
      <c r="D147" s="558">
        <v>30</v>
      </c>
      <c r="E147" s="286"/>
      <c r="F147" s="286"/>
      <c r="G147" s="282">
        <f t="shared" si="17"/>
        <v>200160</v>
      </c>
      <c r="H147" s="283">
        <f>HLOOKUP($C147,'1'!$D$35:$O$38,3,FALSE)</f>
        <v>0.8</v>
      </c>
      <c r="I147" s="284">
        <f>HLOOKUP($C147,'1'!$D$35:$O$38,4,FALSE)</f>
        <v>0.98</v>
      </c>
      <c r="J147" s="282">
        <f>'1'!$E$42*D147*24</f>
        <v>200160</v>
      </c>
      <c r="K147" s="277">
        <f>(J147*'1'!$E$43)</f>
        <v>8006.4000000000005</v>
      </c>
      <c r="L147" s="277">
        <f t="shared" si="12"/>
        <v>3202.5600000000095</v>
      </c>
      <c r="M147" s="277">
        <f t="shared" si="13"/>
        <v>0</v>
      </c>
      <c r="N147" s="277">
        <f t="shared" si="14"/>
        <v>3202.5600000000095</v>
      </c>
    </row>
    <row r="148" spans="2:14">
      <c r="B148" s="281">
        <f t="shared" si="15"/>
        <v>13</v>
      </c>
      <c r="C148" s="281">
        <f t="shared" si="16"/>
        <v>7</v>
      </c>
      <c r="D148" s="558">
        <v>31</v>
      </c>
      <c r="E148" s="286"/>
      <c r="F148" s="286"/>
      <c r="G148" s="282">
        <f t="shared" si="17"/>
        <v>206832</v>
      </c>
      <c r="H148" s="283">
        <f>HLOOKUP($C148,'1'!$D$35:$O$38,3,FALSE)</f>
        <v>0.8</v>
      </c>
      <c r="I148" s="284">
        <f>HLOOKUP($C148,'1'!$D$35:$O$38,4,FALSE)</f>
        <v>0.98</v>
      </c>
      <c r="J148" s="282">
        <f>'1'!$E$42*D148*24</f>
        <v>206832</v>
      </c>
      <c r="K148" s="277">
        <f>(J148*'1'!$E$43)</f>
        <v>8273.2800000000007</v>
      </c>
      <c r="L148" s="277">
        <f t="shared" si="12"/>
        <v>3309.3120000000113</v>
      </c>
      <c r="M148" s="277">
        <f t="shared" si="13"/>
        <v>0</v>
      </c>
      <c r="N148" s="277">
        <f t="shared" si="14"/>
        <v>3309.3120000000113</v>
      </c>
    </row>
    <row r="149" spans="2:14">
      <c r="B149" s="281">
        <f t="shared" si="15"/>
        <v>13</v>
      </c>
      <c r="C149" s="281">
        <f t="shared" si="16"/>
        <v>8</v>
      </c>
      <c r="D149" s="558">
        <v>31</v>
      </c>
      <c r="E149" s="286"/>
      <c r="F149" s="286"/>
      <c r="G149" s="282">
        <f t="shared" si="17"/>
        <v>206832</v>
      </c>
      <c r="H149" s="283">
        <f>HLOOKUP($C149,'1'!$D$35:$O$38,3,FALSE)</f>
        <v>0.8</v>
      </c>
      <c r="I149" s="284">
        <f>HLOOKUP($C149,'1'!$D$35:$O$38,4,FALSE)</f>
        <v>0.98</v>
      </c>
      <c r="J149" s="282">
        <f>'1'!$E$42*D149*24</f>
        <v>206832</v>
      </c>
      <c r="K149" s="277">
        <f>(J149*'1'!$E$43)</f>
        <v>8273.2800000000007</v>
      </c>
      <c r="L149" s="277">
        <f t="shared" si="12"/>
        <v>3309.3120000000113</v>
      </c>
      <c r="M149" s="277">
        <f t="shared" si="13"/>
        <v>0</v>
      </c>
      <c r="N149" s="277">
        <f t="shared" si="14"/>
        <v>3309.3120000000113</v>
      </c>
    </row>
    <row r="150" spans="2:14">
      <c r="B150" s="281">
        <f t="shared" si="15"/>
        <v>13</v>
      </c>
      <c r="C150" s="281">
        <f t="shared" si="16"/>
        <v>9</v>
      </c>
      <c r="D150" s="558">
        <v>30</v>
      </c>
      <c r="E150" s="286"/>
      <c r="F150" s="286"/>
      <c r="G150" s="282">
        <f t="shared" si="17"/>
        <v>200160</v>
      </c>
      <c r="H150" s="283">
        <f>HLOOKUP($C150,'1'!$D$35:$O$38,3,FALSE)</f>
        <v>1.2</v>
      </c>
      <c r="I150" s="284">
        <f>HLOOKUP($C150,'1'!$D$35:$O$38,4,FALSE)</f>
        <v>0.98</v>
      </c>
      <c r="J150" s="282">
        <f>'1'!$E$42*D150*24</f>
        <v>200160</v>
      </c>
      <c r="K150" s="277">
        <f>(J150*'1'!$E$43)</f>
        <v>8006.4000000000005</v>
      </c>
      <c r="L150" s="277">
        <f t="shared" si="12"/>
        <v>4803.8400000000138</v>
      </c>
      <c r="M150" s="277">
        <f t="shared" si="13"/>
        <v>0</v>
      </c>
      <c r="N150" s="277">
        <f t="shared" si="14"/>
        <v>4803.8400000000138</v>
      </c>
    </row>
    <row r="151" spans="2:14">
      <c r="B151" s="281">
        <f t="shared" si="15"/>
        <v>13</v>
      </c>
      <c r="C151" s="281">
        <f t="shared" si="16"/>
        <v>10</v>
      </c>
      <c r="D151" s="558">
        <v>31</v>
      </c>
      <c r="E151" s="286"/>
      <c r="F151" s="286"/>
      <c r="G151" s="282">
        <f t="shared" si="17"/>
        <v>206832</v>
      </c>
      <c r="H151" s="283">
        <f>HLOOKUP($C151,'1'!$D$35:$O$38,3,FALSE)</f>
        <v>1.2</v>
      </c>
      <c r="I151" s="284">
        <f>HLOOKUP($C151,'1'!$D$35:$O$38,4,FALSE)</f>
        <v>0.98</v>
      </c>
      <c r="J151" s="282">
        <f>'1'!$E$42*D151*24</f>
        <v>206832</v>
      </c>
      <c r="K151" s="277">
        <f>(J151*'1'!$E$43)</f>
        <v>8273.2800000000007</v>
      </c>
      <c r="L151" s="277">
        <f t="shared" si="12"/>
        <v>4963.9680000000162</v>
      </c>
      <c r="M151" s="277">
        <f t="shared" si="13"/>
        <v>0</v>
      </c>
      <c r="N151" s="277">
        <f t="shared" si="14"/>
        <v>4963.9680000000162</v>
      </c>
    </row>
    <row r="152" spans="2:14">
      <c r="B152" s="281">
        <f t="shared" si="15"/>
        <v>13</v>
      </c>
      <c r="C152" s="281">
        <f t="shared" si="16"/>
        <v>11</v>
      </c>
      <c r="D152" s="558">
        <v>30</v>
      </c>
      <c r="E152" s="286"/>
      <c r="F152" s="286"/>
      <c r="G152" s="282">
        <f t="shared" si="17"/>
        <v>200160</v>
      </c>
      <c r="H152" s="283">
        <f>HLOOKUP($C152,'1'!$D$35:$O$38,3,FALSE)</f>
        <v>1.2</v>
      </c>
      <c r="I152" s="284">
        <f>HLOOKUP($C152,'1'!$D$35:$O$38,4,FALSE)</f>
        <v>0.98</v>
      </c>
      <c r="J152" s="282">
        <f>'1'!$E$42*D152*24</f>
        <v>200160</v>
      </c>
      <c r="K152" s="277">
        <f>(J152*'1'!$E$43)</f>
        <v>8006.4000000000005</v>
      </c>
      <c r="L152" s="277">
        <f t="shared" si="12"/>
        <v>4803.8400000000138</v>
      </c>
      <c r="M152" s="277">
        <f t="shared" si="13"/>
        <v>0</v>
      </c>
      <c r="N152" s="277">
        <f t="shared" si="14"/>
        <v>4803.8400000000138</v>
      </c>
    </row>
    <row r="153" spans="2:14">
      <c r="B153" s="281">
        <f t="shared" si="15"/>
        <v>13</v>
      </c>
      <c r="C153" s="281">
        <f t="shared" si="16"/>
        <v>12</v>
      </c>
      <c r="D153" s="558">
        <v>31</v>
      </c>
      <c r="E153" s="286"/>
      <c r="F153" s="286"/>
      <c r="G153" s="282">
        <f t="shared" si="17"/>
        <v>206832</v>
      </c>
      <c r="H153" s="283">
        <f>HLOOKUP($C153,'1'!$D$35:$O$38,3,FALSE)</f>
        <v>1.2</v>
      </c>
      <c r="I153" s="284">
        <f>HLOOKUP($C153,'1'!$D$35:$O$38,4,FALSE)</f>
        <v>0.98</v>
      </c>
      <c r="J153" s="282">
        <f>'1'!$E$42*D153*24</f>
        <v>206832</v>
      </c>
      <c r="K153" s="277">
        <f>(J153*'1'!$E$43)</f>
        <v>8273.2800000000007</v>
      </c>
      <c r="L153" s="277">
        <f t="shared" si="12"/>
        <v>4963.9680000000162</v>
      </c>
      <c r="M153" s="277">
        <f t="shared" si="13"/>
        <v>0</v>
      </c>
      <c r="N153" s="277">
        <f t="shared" si="14"/>
        <v>4963.9680000000162</v>
      </c>
    </row>
    <row r="154" spans="2:14">
      <c r="B154" s="281">
        <f t="shared" si="15"/>
        <v>14</v>
      </c>
      <c r="C154" s="281">
        <f t="shared" si="16"/>
        <v>1</v>
      </c>
      <c r="D154" s="558">
        <v>31</v>
      </c>
      <c r="E154" s="286"/>
      <c r="F154" s="286"/>
      <c r="G154" s="282">
        <f t="shared" si="17"/>
        <v>206832</v>
      </c>
      <c r="H154" s="283">
        <f>HLOOKUP($C154,'1'!$D$35:$O$38,3,FALSE)</f>
        <v>1.2</v>
      </c>
      <c r="I154" s="284">
        <f>HLOOKUP($C154,'1'!$D$35:$O$38,4,FALSE)</f>
        <v>0.98</v>
      </c>
      <c r="J154" s="282">
        <f>'1'!$E$42*D154*24</f>
        <v>206832</v>
      </c>
      <c r="K154" s="277">
        <f>(J154*'1'!$E$43)</f>
        <v>8273.2800000000007</v>
      </c>
      <c r="L154" s="277">
        <f t="shared" si="12"/>
        <v>4963.9680000000162</v>
      </c>
      <c r="M154" s="277">
        <f t="shared" si="13"/>
        <v>0</v>
      </c>
      <c r="N154" s="277">
        <f t="shared" si="14"/>
        <v>4963.9680000000162</v>
      </c>
    </row>
    <row r="155" spans="2:14">
      <c r="B155" s="281">
        <f t="shared" si="15"/>
        <v>14</v>
      </c>
      <c r="C155" s="281">
        <f t="shared" si="16"/>
        <v>2</v>
      </c>
      <c r="D155" s="558">
        <v>28.25</v>
      </c>
      <c r="E155" s="286"/>
      <c r="F155" s="286"/>
      <c r="G155" s="282">
        <f t="shared" si="17"/>
        <v>188484</v>
      </c>
      <c r="H155" s="283">
        <f>HLOOKUP($C155,'1'!$D$35:$O$38,3,FALSE)</f>
        <v>1.2</v>
      </c>
      <c r="I155" s="284">
        <f>HLOOKUP($C155,'1'!$D$35:$O$38,4,FALSE)</f>
        <v>0.98</v>
      </c>
      <c r="J155" s="282">
        <f>'1'!$E$42*D155*24</f>
        <v>188484</v>
      </c>
      <c r="K155" s="277">
        <f>(J155*'1'!$E$43)</f>
        <v>7539.3600000000006</v>
      </c>
      <c r="L155" s="277">
        <f t="shared" si="12"/>
        <v>4523.6159999999918</v>
      </c>
      <c r="M155" s="277">
        <f t="shared" si="13"/>
        <v>0</v>
      </c>
      <c r="N155" s="277">
        <f t="shared" si="14"/>
        <v>4523.6159999999918</v>
      </c>
    </row>
    <row r="156" spans="2:14">
      <c r="B156" s="281">
        <f t="shared" si="15"/>
        <v>14</v>
      </c>
      <c r="C156" s="281">
        <f t="shared" si="16"/>
        <v>3</v>
      </c>
      <c r="D156" s="558">
        <v>31</v>
      </c>
      <c r="E156" s="286"/>
      <c r="F156" s="286"/>
      <c r="G156" s="282">
        <f t="shared" si="17"/>
        <v>206832</v>
      </c>
      <c r="H156" s="283">
        <f>HLOOKUP($C156,'1'!$D$35:$O$38,3,FALSE)</f>
        <v>0.8</v>
      </c>
      <c r="I156" s="284">
        <f>HLOOKUP($C156,'1'!$D$35:$O$38,4,FALSE)</f>
        <v>0.98</v>
      </c>
      <c r="J156" s="282">
        <f>'1'!$E$42*D156*24</f>
        <v>206832</v>
      </c>
      <c r="K156" s="277">
        <f>(J156*'1'!$E$43)</f>
        <v>8273.2800000000007</v>
      </c>
      <c r="L156" s="277">
        <f t="shared" si="12"/>
        <v>3309.3120000000113</v>
      </c>
      <c r="M156" s="277">
        <f t="shared" si="13"/>
        <v>0</v>
      </c>
      <c r="N156" s="277">
        <f t="shared" si="14"/>
        <v>3309.3120000000113</v>
      </c>
    </row>
    <row r="157" spans="2:14">
      <c r="B157" s="281">
        <f t="shared" si="15"/>
        <v>14</v>
      </c>
      <c r="C157" s="281">
        <f t="shared" si="16"/>
        <v>4</v>
      </c>
      <c r="D157" s="558">
        <v>30</v>
      </c>
      <c r="E157" s="286"/>
      <c r="F157" s="286"/>
      <c r="G157" s="282">
        <f t="shared" si="17"/>
        <v>200160</v>
      </c>
      <c r="H157" s="283">
        <f>HLOOKUP($C157,'1'!$D$35:$O$38,3,FALSE)</f>
        <v>0.8</v>
      </c>
      <c r="I157" s="284">
        <f>HLOOKUP($C157,'1'!$D$35:$O$38,4,FALSE)</f>
        <v>0.98</v>
      </c>
      <c r="J157" s="282">
        <f>'1'!$E$42*D157*24</f>
        <v>200160</v>
      </c>
      <c r="K157" s="277">
        <f>(J157*'1'!$E$43)</f>
        <v>8006.4000000000005</v>
      </c>
      <c r="L157" s="277">
        <f t="shared" si="12"/>
        <v>3202.5600000000095</v>
      </c>
      <c r="M157" s="277">
        <f t="shared" si="13"/>
        <v>0</v>
      </c>
      <c r="N157" s="277">
        <f t="shared" si="14"/>
        <v>3202.5600000000095</v>
      </c>
    </row>
    <row r="158" spans="2:14">
      <c r="B158" s="281">
        <f t="shared" si="15"/>
        <v>14</v>
      </c>
      <c r="C158" s="281">
        <f t="shared" si="16"/>
        <v>5</v>
      </c>
      <c r="D158" s="558">
        <v>31</v>
      </c>
      <c r="E158" s="286"/>
      <c r="F158" s="286"/>
      <c r="G158" s="282">
        <f t="shared" si="17"/>
        <v>206832</v>
      </c>
      <c r="H158" s="283">
        <f>HLOOKUP($C158,'1'!$D$35:$O$38,3,FALSE)</f>
        <v>0.8</v>
      </c>
      <c r="I158" s="284">
        <f>HLOOKUP($C158,'1'!$D$35:$O$38,4,FALSE)</f>
        <v>0.98</v>
      </c>
      <c r="J158" s="282">
        <f>'1'!$E$42*D158*24</f>
        <v>206832</v>
      </c>
      <c r="K158" s="277">
        <f>(J158*'1'!$E$43)</f>
        <v>8273.2800000000007</v>
      </c>
      <c r="L158" s="277">
        <f t="shared" si="12"/>
        <v>3309.3120000000113</v>
      </c>
      <c r="M158" s="277">
        <f t="shared" si="13"/>
        <v>0</v>
      </c>
      <c r="N158" s="277">
        <f t="shared" si="14"/>
        <v>3309.3120000000113</v>
      </c>
    </row>
    <row r="159" spans="2:14">
      <c r="B159" s="281">
        <f t="shared" si="15"/>
        <v>14</v>
      </c>
      <c r="C159" s="281">
        <f t="shared" si="16"/>
        <v>6</v>
      </c>
      <c r="D159" s="558">
        <v>30</v>
      </c>
      <c r="E159" s="286"/>
      <c r="F159" s="286"/>
      <c r="G159" s="282">
        <f t="shared" si="17"/>
        <v>200160</v>
      </c>
      <c r="H159" s="283">
        <f>HLOOKUP($C159,'1'!$D$35:$O$38,3,FALSE)</f>
        <v>0.8</v>
      </c>
      <c r="I159" s="284">
        <f>HLOOKUP($C159,'1'!$D$35:$O$38,4,FALSE)</f>
        <v>0.98</v>
      </c>
      <c r="J159" s="282">
        <f>'1'!$E$42*D159*24</f>
        <v>200160</v>
      </c>
      <c r="K159" s="277">
        <f>(J159*'1'!$E$43)</f>
        <v>8006.4000000000005</v>
      </c>
      <c r="L159" s="277">
        <f t="shared" si="12"/>
        <v>3202.5600000000095</v>
      </c>
      <c r="M159" s="277">
        <f t="shared" si="13"/>
        <v>0</v>
      </c>
      <c r="N159" s="277">
        <f t="shared" si="14"/>
        <v>3202.5600000000095</v>
      </c>
    </row>
    <row r="160" spans="2:14">
      <c r="B160" s="281">
        <f t="shared" si="15"/>
        <v>14</v>
      </c>
      <c r="C160" s="281">
        <f t="shared" si="16"/>
        <v>7</v>
      </c>
      <c r="D160" s="558">
        <v>31</v>
      </c>
      <c r="E160" s="286"/>
      <c r="F160" s="286"/>
      <c r="G160" s="282">
        <f t="shared" si="17"/>
        <v>206832</v>
      </c>
      <c r="H160" s="283">
        <f>HLOOKUP($C160,'1'!$D$35:$O$38,3,FALSE)</f>
        <v>0.8</v>
      </c>
      <c r="I160" s="284">
        <f>HLOOKUP($C160,'1'!$D$35:$O$38,4,FALSE)</f>
        <v>0.98</v>
      </c>
      <c r="J160" s="282">
        <f>'1'!$E$42*D160*24</f>
        <v>206832</v>
      </c>
      <c r="K160" s="277">
        <f>(J160*'1'!$E$43)</f>
        <v>8273.2800000000007</v>
      </c>
      <c r="L160" s="277">
        <f t="shared" si="12"/>
        <v>3309.3120000000113</v>
      </c>
      <c r="M160" s="277">
        <f t="shared" si="13"/>
        <v>0</v>
      </c>
      <c r="N160" s="277">
        <f t="shared" si="14"/>
        <v>3309.3120000000113</v>
      </c>
    </row>
    <row r="161" spans="2:14">
      <c r="B161" s="281">
        <f t="shared" si="15"/>
        <v>14</v>
      </c>
      <c r="C161" s="281">
        <f t="shared" si="16"/>
        <v>8</v>
      </c>
      <c r="D161" s="558">
        <v>31</v>
      </c>
      <c r="E161" s="286"/>
      <c r="F161" s="286"/>
      <c r="G161" s="282">
        <f t="shared" si="17"/>
        <v>206832</v>
      </c>
      <c r="H161" s="283">
        <f>HLOOKUP($C161,'1'!$D$35:$O$38,3,FALSE)</f>
        <v>0.8</v>
      </c>
      <c r="I161" s="284">
        <f>HLOOKUP($C161,'1'!$D$35:$O$38,4,FALSE)</f>
        <v>0.98</v>
      </c>
      <c r="J161" s="282">
        <f>'1'!$E$42*D161*24</f>
        <v>206832</v>
      </c>
      <c r="K161" s="277">
        <f>(J161*'1'!$E$43)</f>
        <v>8273.2800000000007</v>
      </c>
      <c r="L161" s="277">
        <f t="shared" si="12"/>
        <v>3309.3120000000113</v>
      </c>
      <c r="M161" s="277">
        <f t="shared" si="13"/>
        <v>0</v>
      </c>
      <c r="N161" s="277">
        <f t="shared" si="14"/>
        <v>3309.3120000000113</v>
      </c>
    </row>
    <row r="162" spans="2:14">
      <c r="B162" s="281">
        <f t="shared" si="15"/>
        <v>14</v>
      </c>
      <c r="C162" s="281">
        <f t="shared" si="16"/>
        <v>9</v>
      </c>
      <c r="D162" s="558">
        <v>30</v>
      </c>
      <c r="E162" s="286"/>
      <c r="F162" s="286"/>
      <c r="G162" s="282">
        <f t="shared" si="17"/>
        <v>200160</v>
      </c>
      <c r="H162" s="283">
        <f>HLOOKUP($C162,'1'!$D$35:$O$38,3,FALSE)</f>
        <v>1.2</v>
      </c>
      <c r="I162" s="284">
        <f>HLOOKUP($C162,'1'!$D$35:$O$38,4,FALSE)</f>
        <v>0.98</v>
      </c>
      <c r="J162" s="282">
        <f>'1'!$E$42*D162*24</f>
        <v>200160</v>
      </c>
      <c r="K162" s="277">
        <f>(J162*'1'!$E$43)</f>
        <v>8006.4000000000005</v>
      </c>
      <c r="L162" s="277">
        <f t="shared" si="12"/>
        <v>4803.8400000000138</v>
      </c>
      <c r="M162" s="277">
        <f t="shared" si="13"/>
        <v>0</v>
      </c>
      <c r="N162" s="277">
        <f t="shared" si="14"/>
        <v>4803.8400000000138</v>
      </c>
    </row>
    <row r="163" spans="2:14">
      <c r="B163" s="281">
        <f t="shared" si="15"/>
        <v>14</v>
      </c>
      <c r="C163" s="281">
        <f t="shared" si="16"/>
        <v>10</v>
      </c>
      <c r="D163" s="558">
        <v>31</v>
      </c>
      <c r="E163" s="286"/>
      <c r="F163" s="286"/>
      <c r="G163" s="282">
        <f t="shared" si="17"/>
        <v>206832</v>
      </c>
      <c r="H163" s="283">
        <f>HLOOKUP($C163,'1'!$D$35:$O$38,3,FALSE)</f>
        <v>1.2</v>
      </c>
      <c r="I163" s="284">
        <f>HLOOKUP($C163,'1'!$D$35:$O$38,4,FALSE)</f>
        <v>0.98</v>
      </c>
      <c r="J163" s="282">
        <f>'1'!$E$42*D163*24</f>
        <v>206832</v>
      </c>
      <c r="K163" s="277">
        <f>(J163*'1'!$E$43)</f>
        <v>8273.2800000000007</v>
      </c>
      <c r="L163" s="277">
        <f t="shared" si="12"/>
        <v>4963.9680000000162</v>
      </c>
      <c r="M163" s="277">
        <f t="shared" si="13"/>
        <v>0</v>
      </c>
      <c r="N163" s="277">
        <f t="shared" si="14"/>
        <v>4963.9680000000162</v>
      </c>
    </row>
    <row r="164" spans="2:14">
      <c r="B164" s="281">
        <f t="shared" si="15"/>
        <v>14</v>
      </c>
      <c r="C164" s="281">
        <f t="shared" si="16"/>
        <v>11</v>
      </c>
      <c r="D164" s="558">
        <v>30</v>
      </c>
      <c r="E164" s="286"/>
      <c r="F164" s="286"/>
      <c r="G164" s="282">
        <f t="shared" si="17"/>
        <v>200160</v>
      </c>
      <c r="H164" s="283">
        <f>HLOOKUP($C164,'1'!$D$35:$O$38,3,FALSE)</f>
        <v>1.2</v>
      </c>
      <c r="I164" s="284">
        <f>HLOOKUP($C164,'1'!$D$35:$O$38,4,FALSE)</f>
        <v>0.98</v>
      </c>
      <c r="J164" s="282">
        <f>'1'!$E$42*D164*24</f>
        <v>200160</v>
      </c>
      <c r="K164" s="277">
        <f>(J164*'1'!$E$43)</f>
        <v>8006.4000000000005</v>
      </c>
      <c r="L164" s="277">
        <f t="shared" si="12"/>
        <v>4803.8400000000138</v>
      </c>
      <c r="M164" s="277">
        <f t="shared" si="13"/>
        <v>0</v>
      </c>
      <c r="N164" s="277">
        <f t="shared" si="14"/>
        <v>4803.8400000000138</v>
      </c>
    </row>
    <row r="165" spans="2:14">
      <c r="B165" s="281">
        <f t="shared" si="15"/>
        <v>14</v>
      </c>
      <c r="C165" s="281">
        <f t="shared" si="16"/>
        <v>12</v>
      </c>
      <c r="D165" s="558">
        <v>31</v>
      </c>
      <c r="E165" s="286"/>
      <c r="F165" s="286"/>
      <c r="G165" s="282">
        <f t="shared" si="17"/>
        <v>206832</v>
      </c>
      <c r="H165" s="283">
        <f>HLOOKUP($C165,'1'!$D$35:$O$38,3,FALSE)</f>
        <v>1.2</v>
      </c>
      <c r="I165" s="284">
        <f>HLOOKUP($C165,'1'!$D$35:$O$38,4,FALSE)</f>
        <v>0.98</v>
      </c>
      <c r="J165" s="282">
        <f>'1'!$E$42*D165*24</f>
        <v>206832</v>
      </c>
      <c r="K165" s="277">
        <f>(J165*'1'!$E$43)</f>
        <v>8273.2800000000007</v>
      </c>
      <c r="L165" s="277">
        <f t="shared" si="12"/>
        <v>4963.9680000000162</v>
      </c>
      <c r="M165" s="277">
        <f t="shared" si="13"/>
        <v>0</v>
      </c>
      <c r="N165" s="277">
        <f t="shared" si="14"/>
        <v>4963.9680000000162</v>
      </c>
    </row>
    <row r="166" spans="2:14">
      <c r="B166" s="281">
        <f t="shared" si="15"/>
        <v>15</v>
      </c>
      <c r="C166" s="281">
        <f t="shared" si="16"/>
        <v>1</v>
      </c>
      <c r="D166" s="558">
        <v>31</v>
      </c>
      <c r="E166" s="286"/>
      <c r="F166" s="286"/>
      <c r="G166" s="282">
        <f t="shared" si="17"/>
        <v>206832</v>
      </c>
      <c r="H166" s="283">
        <f>HLOOKUP($C166,'1'!$D$35:$O$38,3,FALSE)</f>
        <v>1.2</v>
      </c>
      <c r="I166" s="284">
        <f>HLOOKUP($C166,'1'!$D$35:$O$38,4,FALSE)</f>
        <v>0.98</v>
      </c>
      <c r="J166" s="282">
        <f>'1'!$E$42*D166*24</f>
        <v>206832</v>
      </c>
      <c r="K166" s="277">
        <f>(J166*'1'!$E$43)</f>
        <v>8273.2800000000007</v>
      </c>
      <c r="L166" s="277">
        <f t="shared" si="12"/>
        <v>4963.9680000000162</v>
      </c>
      <c r="M166" s="277">
        <f t="shared" si="13"/>
        <v>0</v>
      </c>
      <c r="N166" s="277">
        <f t="shared" si="14"/>
        <v>4963.9680000000162</v>
      </c>
    </row>
    <row r="167" spans="2:14">
      <c r="B167" s="281">
        <f t="shared" si="15"/>
        <v>15</v>
      </c>
      <c r="C167" s="281">
        <f t="shared" si="16"/>
        <v>2</v>
      </c>
      <c r="D167" s="558">
        <v>28.25</v>
      </c>
      <c r="E167" s="286"/>
      <c r="F167" s="286"/>
      <c r="G167" s="282">
        <f t="shared" si="17"/>
        <v>188484</v>
      </c>
      <c r="H167" s="283">
        <f>HLOOKUP($C167,'1'!$D$35:$O$38,3,FALSE)</f>
        <v>1.2</v>
      </c>
      <c r="I167" s="284">
        <f>HLOOKUP($C167,'1'!$D$35:$O$38,4,FALSE)</f>
        <v>0.98</v>
      </c>
      <c r="J167" s="282">
        <f>'1'!$E$42*D167*24</f>
        <v>188484</v>
      </c>
      <c r="K167" s="277">
        <f>(J167*'1'!$E$43)</f>
        <v>7539.3600000000006</v>
      </c>
      <c r="L167" s="277">
        <f t="shared" si="12"/>
        <v>4523.6159999999918</v>
      </c>
      <c r="M167" s="277">
        <f t="shared" si="13"/>
        <v>0</v>
      </c>
      <c r="N167" s="277">
        <f t="shared" si="14"/>
        <v>4523.6159999999918</v>
      </c>
    </row>
    <row r="168" spans="2:14">
      <c r="B168" s="281">
        <f t="shared" si="15"/>
        <v>15</v>
      </c>
      <c r="C168" s="281">
        <f t="shared" si="16"/>
        <v>3</v>
      </c>
      <c r="D168" s="558">
        <v>31</v>
      </c>
      <c r="E168" s="286"/>
      <c r="F168" s="286"/>
      <c r="G168" s="282">
        <f t="shared" si="17"/>
        <v>206832</v>
      </c>
      <c r="H168" s="283">
        <f>HLOOKUP($C168,'1'!$D$35:$O$38,3,FALSE)</f>
        <v>0.8</v>
      </c>
      <c r="I168" s="284">
        <f>HLOOKUP($C168,'1'!$D$35:$O$38,4,FALSE)</f>
        <v>0.98</v>
      </c>
      <c r="J168" s="282">
        <f>'1'!$E$42*D168*24</f>
        <v>206832</v>
      </c>
      <c r="K168" s="277">
        <f>(J168*'1'!$E$43)</f>
        <v>8273.2800000000007</v>
      </c>
      <c r="L168" s="277">
        <f t="shared" si="12"/>
        <v>3309.3120000000113</v>
      </c>
      <c r="M168" s="277">
        <f t="shared" si="13"/>
        <v>0</v>
      </c>
      <c r="N168" s="277">
        <f t="shared" si="14"/>
        <v>3309.3120000000113</v>
      </c>
    </row>
    <row r="169" spans="2:14">
      <c r="B169" s="281">
        <f t="shared" si="15"/>
        <v>15</v>
      </c>
      <c r="C169" s="281">
        <f t="shared" si="16"/>
        <v>4</v>
      </c>
      <c r="D169" s="558">
        <v>30</v>
      </c>
      <c r="E169" s="286"/>
      <c r="F169" s="286"/>
      <c r="G169" s="282">
        <f t="shared" si="17"/>
        <v>200160</v>
      </c>
      <c r="H169" s="283">
        <f>HLOOKUP($C169,'1'!$D$35:$O$38,3,FALSE)</f>
        <v>0.8</v>
      </c>
      <c r="I169" s="284">
        <f>HLOOKUP($C169,'1'!$D$35:$O$38,4,FALSE)</f>
        <v>0.98</v>
      </c>
      <c r="J169" s="282">
        <f>'1'!$E$42*D169*24</f>
        <v>200160</v>
      </c>
      <c r="K169" s="277">
        <f>(J169*'1'!$E$43)</f>
        <v>8006.4000000000005</v>
      </c>
      <c r="L169" s="277">
        <f t="shared" si="12"/>
        <v>3202.5600000000095</v>
      </c>
      <c r="M169" s="277">
        <f t="shared" si="13"/>
        <v>0</v>
      </c>
      <c r="N169" s="277">
        <f t="shared" si="14"/>
        <v>3202.5600000000095</v>
      </c>
    </row>
    <row r="170" spans="2:14">
      <c r="B170" s="281">
        <f t="shared" si="15"/>
        <v>15</v>
      </c>
      <c r="C170" s="281">
        <f t="shared" si="16"/>
        <v>5</v>
      </c>
      <c r="D170" s="558">
        <v>31</v>
      </c>
      <c r="E170" s="286"/>
      <c r="F170" s="286"/>
      <c r="G170" s="282">
        <f t="shared" si="17"/>
        <v>206832</v>
      </c>
      <c r="H170" s="283">
        <f>HLOOKUP($C170,'1'!$D$35:$O$38,3,FALSE)</f>
        <v>0.8</v>
      </c>
      <c r="I170" s="284">
        <f>HLOOKUP($C170,'1'!$D$35:$O$38,4,FALSE)</f>
        <v>0.98</v>
      </c>
      <c r="J170" s="282">
        <f>'1'!$E$42*D170*24</f>
        <v>206832</v>
      </c>
      <c r="K170" s="277">
        <f>(J170*'1'!$E$43)</f>
        <v>8273.2800000000007</v>
      </c>
      <c r="L170" s="277">
        <f t="shared" si="12"/>
        <v>3309.3120000000113</v>
      </c>
      <c r="M170" s="277">
        <f t="shared" si="13"/>
        <v>0</v>
      </c>
      <c r="N170" s="277">
        <f t="shared" si="14"/>
        <v>3309.3120000000113</v>
      </c>
    </row>
    <row r="171" spans="2:14">
      <c r="B171" s="281">
        <f t="shared" si="15"/>
        <v>15</v>
      </c>
      <c r="C171" s="281">
        <f t="shared" si="16"/>
        <v>6</v>
      </c>
      <c r="D171" s="558">
        <v>30</v>
      </c>
      <c r="E171" s="286"/>
      <c r="F171" s="286"/>
      <c r="G171" s="282">
        <f t="shared" si="17"/>
        <v>200160</v>
      </c>
      <c r="H171" s="283">
        <f>HLOOKUP($C171,'1'!$D$35:$O$38,3,FALSE)</f>
        <v>0.8</v>
      </c>
      <c r="I171" s="284">
        <f>HLOOKUP($C171,'1'!$D$35:$O$38,4,FALSE)</f>
        <v>0.98</v>
      </c>
      <c r="J171" s="282">
        <f>'1'!$E$42*D171*24</f>
        <v>200160</v>
      </c>
      <c r="K171" s="277">
        <f>(J171*'1'!$E$43)</f>
        <v>8006.4000000000005</v>
      </c>
      <c r="L171" s="277">
        <f t="shared" si="12"/>
        <v>3202.5600000000095</v>
      </c>
      <c r="M171" s="277">
        <f t="shared" si="13"/>
        <v>0</v>
      </c>
      <c r="N171" s="277">
        <f t="shared" si="14"/>
        <v>3202.5600000000095</v>
      </c>
    </row>
    <row r="172" spans="2:14">
      <c r="B172" s="281">
        <f t="shared" si="15"/>
        <v>15</v>
      </c>
      <c r="C172" s="281">
        <f t="shared" si="16"/>
        <v>7</v>
      </c>
      <c r="D172" s="558">
        <v>31</v>
      </c>
      <c r="E172" s="286"/>
      <c r="F172" s="286"/>
      <c r="G172" s="282">
        <f t="shared" si="17"/>
        <v>206832</v>
      </c>
      <c r="H172" s="283">
        <f>HLOOKUP($C172,'1'!$D$35:$O$38,3,FALSE)</f>
        <v>0.8</v>
      </c>
      <c r="I172" s="284">
        <f>HLOOKUP($C172,'1'!$D$35:$O$38,4,FALSE)</f>
        <v>0.98</v>
      </c>
      <c r="J172" s="282">
        <f>'1'!$E$42*D172*24</f>
        <v>206832</v>
      </c>
      <c r="K172" s="277">
        <f>(J172*'1'!$E$43)</f>
        <v>8273.2800000000007</v>
      </c>
      <c r="L172" s="277">
        <f t="shared" si="12"/>
        <v>3309.3120000000113</v>
      </c>
      <c r="M172" s="277">
        <f t="shared" si="13"/>
        <v>0</v>
      </c>
      <c r="N172" s="277">
        <f t="shared" si="14"/>
        <v>3309.3120000000113</v>
      </c>
    </row>
    <row r="173" spans="2:14">
      <c r="B173" s="281">
        <f t="shared" si="15"/>
        <v>15</v>
      </c>
      <c r="C173" s="281">
        <f t="shared" si="16"/>
        <v>8</v>
      </c>
      <c r="D173" s="558">
        <v>31</v>
      </c>
      <c r="E173" s="286"/>
      <c r="F173" s="286"/>
      <c r="G173" s="282">
        <f t="shared" si="17"/>
        <v>206832</v>
      </c>
      <c r="H173" s="283">
        <f>HLOOKUP($C173,'1'!$D$35:$O$38,3,FALSE)</f>
        <v>0.8</v>
      </c>
      <c r="I173" s="284">
        <f>HLOOKUP($C173,'1'!$D$35:$O$38,4,FALSE)</f>
        <v>0.98</v>
      </c>
      <c r="J173" s="282">
        <f>'1'!$E$42*D173*24</f>
        <v>206832</v>
      </c>
      <c r="K173" s="277">
        <f>(J173*'1'!$E$43)</f>
        <v>8273.2800000000007</v>
      </c>
      <c r="L173" s="277">
        <f t="shared" si="12"/>
        <v>3309.3120000000113</v>
      </c>
      <c r="M173" s="277">
        <f t="shared" si="13"/>
        <v>0</v>
      </c>
      <c r="N173" s="277">
        <f t="shared" si="14"/>
        <v>3309.3120000000113</v>
      </c>
    </row>
    <row r="174" spans="2:14">
      <c r="B174" s="281">
        <f t="shared" si="15"/>
        <v>15</v>
      </c>
      <c r="C174" s="281">
        <f t="shared" si="16"/>
        <v>9</v>
      </c>
      <c r="D174" s="558">
        <v>30</v>
      </c>
      <c r="E174" s="286"/>
      <c r="F174" s="286"/>
      <c r="G174" s="282">
        <f t="shared" si="17"/>
        <v>200160</v>
      </c>
      <c r="H174" s="283">
        <f>HLOOKUP($C174,'1'!$D$35:$O$38,3,FALSE)</f>
        <v>1.2</v>
      </c>
      <c r="I174" s="284">
        <f>HLOOKUP($C174,'1'!$D$35:$O$38,4,FALSE)</f>
        <v>0.98</v>
      </c>
      <c r="J174" s="282">
        <f>'1'!$E$42*D174*24</f>
        <v>200160</v>
      </c>
      <c r="K174" s="277">
        <f>(J174*'1'!$E$43)</f>
        <v>8006.4000000000005</v>
      </c>
      <c r="L174" s="277">
        <f t="shared" si="12"/>
        <v>4803.8400000000138</v>
      </c>
      <c r="M174" s="277">
        <f t="shared" si="13"/>
        <v>0</v>
      </c>
      <c r="N174" s="277">
        <f t="shared" si="14"/>
        <v>4803.8400000000138</v>
      </c>
    </row>
    <row r="175" spans="2:14">
      <c r="B175" s="281">
        <f t="shared" si="15"/>
        <v>15</v>
      </c>
      <c r="C175" s="281">
        <f t="shared" si="16"/>
        <v>10</v>
      </c>
      <c r="D175" s="558">
        <v>31</v>
      </c>
      <c r="E175" s="286"/>
      <c r="F175" s="286"/>
      <c r="G175" s="282">
        <f t="shared" si="17"/>
        <v>206832</v>
      </c>
      <c r="H175" s="283">
        <f>HLOOKUP($C175,'1'!$D$35:$O$38,3,FALSE)</f>
        <v>1.2</v>
      </c>
      <c r="I175" s="284">
        <f>HLOOKUP($C175,'1'!$D$35:$O$38,4,FALSE)</f>
        <v>0.98</v>
      </c>
      <c r="J175" s="282">
        <f>'1'!$E$42*D175*24</f>
        <v>206832</v>
      </c>
      <c r="K175" s="277">
        <f>(J175*'1'!$E$43)</f>
        <v>8273.2800000000007</v>
      </c>
      <c r="L175" s="277">
        <f t="shared" si="12"/>
        <v>4963.9680000000162</v>
      </c>
      <c r="M175" s="277">
        <f t="shared" si="13"/>
        <v>0</v>
      </c>
      <c r="N175" s="277">
        <f t="shared" si="14"/>
        <v>4963.9680000000162</v>
      </c>
    </row>
    <row r="176" spans="2:14">
      <c r="B176" s="281">
        <f t="shared" si="15"/>
        <v>15</v>
      </c>
      <c r="C176" s="281">
        <f t="shared" si="16"/>
        <v>11</v>
      </c>
      <c r="D176" s="558">
        <v>30</v>
      </c>
      <c r="E176" s="286"/>
      <c r="F176" s="286"/>
      <c r="G176" s="282">
        <f t="shared" si="17"/>
        <v>200160</v>
      </c>
      <c r="H176" s="283">
        <f>HLOOKUP($C176,'1'!$D$35:$O$38,3,FALSE)</f>
        <v>1.2</v>
      </c>
      <c r="I176" s="284">
        <f>HLOOKUP($C176,'1'!$D$35:$O$38,4,FALSE)</f>
        <v>0.98</v>
      </c>
      <c r="J176" s="282">
        <f>'1'!$E$42*D176*24</f>
        <v>200160</v>
      </c>
      <c r="K176" s="277">
        <f>(J176*'1'!$E$43)</f>
        <v>8006.4000000000005</v>
      </c>
      <c r="L176" s="277">
        <f t="shared" si="12"/>
        <v>4803.8400000000138</v>
      </c>
      <c r="M176" s="277">
        <f t="shared" si="13"/>
        <v>0</v>
      </c>
      <c r="N176" s="277">
        <f t="shared" si="14"/>
        <v>4803.8400000000138</v>
      </c>
    </row>
    <row r="177" spans="2:14">
      <c r="B177" s="281">
        <f t="shared" si="15"/>
        <v>15</v>
      </c>
      <c r="C177" s="281">
        <f t="shared" si="16"/>
        <v>12</v>
      </c>
      <c r="D177" s="558">
        <v>31</v>
      </c>
      <c r="E177" s="286"/>
      <c r="F177" s="286"/>
      <c r="G177" s="282">
        <f t="shared" si="17"/>
        <v>206832</v>
      </c>
      <c r="H177" s="283">
        <f>HLOOKUP($C177,'1'!$D$35:$O$38,3,FALSE)</f>
        <v>1.2</v>
      </c>
      <c r="I177" s="284">
        <f>HLOOKUP($C177,'1'!$D$35:$O$38,4,FALSE)</f>
        <v>0.98</v>
      </c>
      <c r="J177" s="282">
        <f>'1'!$E$42*D177*24</f>
        <v>206832</v>
      </c>
      <c r="K177" s="277">
        <f>(J177*'1'!$E$43)</f>
        <v>8273.2800000000007</v>
      </c>
      <c r="L177" s="277">
        <f t="shared" si="12"/>
        <v>4963.9680000000162</v>
      </c>
      <c r="M177" s="277">
        <f t="shared" si="13"/>
        <v>0</v>
      </c>
      <c r="N177" s="277">
        <f t="shared" si="14"/>
        <v>4963.9680000000162</v>
      </c>
    </row>
    <row r="178" spans="2:14">
      <c r="B178" s="281">
        <f t="shared" si="15"/>
        <v>16</v>
      </c>
      <c r="C178" s="281">
        <f t="shared" si="16"/>
        <v>1</v>
      </c>
      <c r="D178" s="558">
        <v>31</v>
      </c>
      <c r="E178" s="286"/>
      <c r="F178" s="286"/>
      <c r="G178" s="282">
        <f t="shared" si="17"/>
        <v>206832</v>
      </c>
      <c r="H178" s="283">
        <f>HLOOKUP($C178,'1'!$D$35:$O$38,3,FALSE)</f>
        <v>1.2</v>
      </c>
      <c r="I178" s="284">
        <f>HLOOKUP($C178,'1'!$D$35:$O$38,4,FALSE)</f>
        <v>0.98</v>
      </c>
      <c r="J178" s="282">
        <f>'1'!$E$42*D178*24</f>
        <v>206832</v>
      </c>
      <c r="K178" s="277">
        <f>(J178*'1'!$E$43)</f>
        <v>8273.2800000000007</v>
      </c>
      <c r="L178" s="277">
        <f t="shared" si="12"/>
        <v>4963.9680000000162</v>
      </c>
      <c r="M178" s="277">
        <f t="shared" si="13"/>
        <v>0</v>
      </c>
      <c r="N178" s="277">
        <f t="shared" si="14"/>
        <v>4963.9680000000162</v>
      </c>
    </row>
    <row r="179" spans="2:14">
      <c r="B179" s="281">
        <f t="shared" si="15"/>
        <v>16</v>
      </c>
      <c r="C179" s="281">
        <f t="shared" si="16"/>
        <v>2</v>
      </c>
      <c r="D179" s="558">
        <v>28.25</v>
      </c>
      <c r="E179" s="286"/>
      <c r="F179" s="286"/>
      <c r="G179" s="282">
        <f t="shared" si="17"/>
        <v>188484</v>
      </c>
      <c r="H179" s="283">
        <f>HLOOKUP($C179,'1'!$D$35:$O$38,3,FALSE)</f>
        <v>1.2</v>
      </c>
      <c r="I179" s="284">
        <f>HLOOKUP($C179,'1'!$D$35:$O$38,4,FALSE)</f>
        <v>0.98</v>
      </c>
      <c r="J179" s="282">
        <f>'1'!$E$42*D179*24</f>
        <v>188484</v>
      </c>
      <c r="K179" s="277">
        <f>(J179*'1'!$E$43)</f>
        <v>7539.3600000000006</v>
      </c>
      <c r="L179" s="277">
        <f t="shared" si="12"/>
        <v>4523.6159999999918</v>
      </c>
      <c r="M179" s="277">
        <f t="shared" si="13"/>
        <v>0</v>
      </c>
      <c r="N179" s="277">
        <f t="shared" si="14"/>
        <v>4523.6159999999918</v>
      </c>
    </row>
    <row r="180" spans="2:14">
      <c r="B180" s="281">
        <f t="shared" si="15"/>
        <v>16</v>
      </c>
      <c r="C180" s="281">
        <f t="shared" si="16"/>
        <v>3</v>
      </c>
      <c r="D180" s="558">
        <v>31</v>
      </c>
      <c r="E180" s="286"/>
      <c r="F180" s="286"/>
      <c r="G180" s="282">
        <f t="shared" si="17"/>
        <v>206832</v>
      </c>
      <c r="H180" s="283">
        <f>HLOOKUP($C180,'1'!$D$35:$O$38,3,FALSE)</f>
        <v>0.8</v>
      </c>
      <c r="I180" s="284">
        <f>HLOOKUP($C180,'1'!$D$35:$O$38,4,FALSE)</f>
        <v>0.98</v>
      </c>
      <c r="J180" s="282">
        <f>'1'!$E$42*D180*24</f>
        <v>206832</v>
      </c>
      <c r="K180" s="277">
        <f>(J180*'1'!$E$43)</f>
        <v>8273.2800000000007</v>
      </c>
      <c r="L180" s="277">
        <f t="shared" si="12"/>
        <v>3309.3120000000113</v>
      </c>
      <c r="M180" s="277">
        <f t="shared" si="13"/>
        <v>0</v>
      </c>
      <c r="N180" s="277">
        <f t="shared" si="14"/>
        <v>3309.3120000000113</v>
      </c>
    </row>
    <row r="181" spans="2:14">
      <c r="B181" s="281">
        <f t="shared" si="15"/>
        <v>16</v>
      </c>
      <c r="C181" s="281">
        <f t="shared" si="16"/>
        <v>4</v>
      </c>
      <c r="D181" s="558">
        <v>30</v>
      </c>
      <c r="E181" s="286"/>
      <c r="F181" s="286"/>
      <c r="G181" s="282">
        <f t="shared" si="17"/>
        <v>200160</v>
      </c>
      <c r="H181" s="283">
        <f>HLOOKUP($C181,'1'!$D$35:$O$38,3,FALSE)</f>
        <v>0.8</v>
      </c>
      <c r="I181" s="284">
        <f>HLOOKUP($C181,'1'!$D$35:$O$38,4,FALSE)</f>
        <v>0.98</v>
      </c>
      <c r="J181" s="282">
        <f>'1'!$E$42*D181*24</f>
        <v>200160</v>
      </c>
      <c r="K181" s="277">
        <f>(J181*'1'!$E$43)</f>
        <v>8006.4000000000005</v>
      </c>
      <c r="L181" s="277">
        <f t="shared" si="12"/>
        <v>3202.5600000000095</v>
      </c>
      <c r="M181" s="277">
        <f t="shared" si="13"/>
        <v>0</v>
      </c>
      <c r="N181" s="277">
        <f t="shared" si="14"/>
        <v>3202.5600000000095</v>
      </c>
    </row>
    <row r="182" spans="2:14">
      <c r="B182" s="281">
        <f t="shared" si="15"/>
        <v>16</v>
      </c>
      <c r="C182" s="281">
        <f t="shared" si="16"/>
        <v>5</v>
      </c>
      <c r="D182" s="558">
        <v>31</v>
      </c>
      <c r="E182" s="286"/>
      <c r="F182" s="286"/>
      <c r="G182" s="282">
        <f t="shared" si="17"/>
        <v>206832</v>
      </c>
      <c r="H182" s="283">
        <f>HLOOKUP($C182,'1'!$D$35:$O$38,3,FALSE)</f>
        <v>0.8</v>
      </c>
      <c r="I182" s="284">
        <f>HLOOKUP($C182,'1'!$D$35:$O$38,4,FALSE)</f>
        <v>0.98</v>
      </c>
      <c r="J182" s="282">
        <f>'1'!$E$42*D182*24</f>
        <v>206832</v>
      </c>
      <c r="K182" s="277">
        <f>(J182*'1'!$E$43)</f>
        <v>8273.2800000000007</v>
      </c>
      <c r="L182" s="277">
        <f t="shared" si="12"/>
        <v>3309.3120000000113</v>
      </c>
      <c r="M182" s="277">
        <f t="shared" si="13"/>
        <v>0</v>
      </c>
      <c r="N182" s="277">
        <f t="shared" si="14"/>
        <v>3309.3120000000113</v>
      </c>
    </row>
    <row r="183" spans="2:14">
      <c r="B183" s="281">
        <f t="shared" si="15"/>
        <v>16</v>
      </c>
      <c r="C183" s="281">
        <f t="shared" si="16"/>
        <v>6</v>
      </c>
      <c r="D183" s="558">
        <v>30</v>
      </c>
      <c r="E183" s="286"/>
      <c r="F183" s="286"/>
      <c r="G183" s="282">
        <f t="shared" si="17"/>
        <v>200160</v>
      </c>
      <c r="H183" s="283">
        <f>HLOOKUP($C183,'1'!$D$35:$O$38,3,FALSE)</f>
        <v>0.8</v>
      </c>
      <c r="I183" s="284">
        <f>HLOOKUP($C183,'1'!$D$35:$O$38,4,FALSE)</f>
        <v>0.98</v>
      </c>
      <c r="J183" s="282">
        <f>'1'!$E$42*D183*24</f>
        <v>200160</v>
      </c>
      <c r="K183" s="277">
        <f>(J183*'1'!$E$43)</f>
        <v>8006.4000000000005</v>
      </c>
      <c r="L183" s="277">
        <f t="shared" si="12"/>
        <v>3202.5600000000095</v>
      </c>
      <c r="M183" s="277">
        <f t="shared" si="13"/>
        <v>0</v>
      </c>
      <c r="N183" s="277">
        <f t="shared" si="14"/>
        <v>3202.5600000000095</v>
      </c>
    </row>
    <row r="184" spans="2:14">
      <c r="B184" s="281">
        <f t="shared" si="15"/>
        <v>16</v>
      </c>
      <c r="C184" s="281">
        <f t="shared" si="16"/>
        <v>7</v>
      </c>
      <c r="D184" s="558">
        <v>31</v>
      </c>
      <c r="E184" s="286"/>
      <c r="F184" s="286"/>
      <c r="G184" s="282">
        <f t="shared" si="17"/>
        <v>206832</v>
      </c>
      <c r="H184" s="283">
        <f>HLOOKUP($C184,'1'!$D$35:$O$38,3,FALSE)</f>
        <v>0.8</v>
      </c>
      <c r="I184" s="284">
        <f>HLOOKUP($C184,'1'!$D$35:$O$38,4,FALSE)</f>
        <v>0.98</v>
      </c>
      <c r="J184" s="282">
        <f>'1'!$E$42*D184*24</f>
        <v>206832</v>
      </c>
      <c r="K184" s="277">
        <f>(J184*'1'!$E$43)</f>
        <v>8273.2800000000007</v>
      </c>
      <c r="L184" s="277">
        <f t="shared" si="12"/>
        <v>3309.3120000000113</v>
      </c>
      <c r="M184" s="277">
        <f t="shared" si="13"/>
        <v>0</v>
      </c>
      <c r="N184" s="277">
        <f t="shared" si="14"/>
        <v>3309.3120000000113</v>
      </c>
    </row>
    <row r="185" spans="2:14">
      <c r="B185" s="281">
        <f t="shared" si="15"/>
        <v>16</v>
      </c>
      <c r="C185" s="281">
        <f t="shared" si="16"/>
        <v>8</v>
      </c>
      <c r="D185" s="558">
        <v>31</v>
      </c>
      <c r="E185" s="286"/>
      <c r="F185" s="286"/>
      <c r="G185" s="282">
        <f t="shared" si="17"/>
        <v>206832</v>
      </c>
      <c r="H185" s="283">
        <f>HLOOKUP($C185,'1'!$D$35:$O$38,3,FALSE)</f>
        <v>0.8</v>
      </c>
      <c r="I185" s="284">
        <f>HLOOKUP($C185,'1'!$D$35:$O$38,4,FALSE)</f>
        <v>0.98</v>
      </c>
      <c r="J185" s="282">
        <f>'1'!$E$42*D185*24</f>
        <v>206832</v>
      </c>
      <c r="K185" s="277">
        <f>(J185*'1'!$E$43)</f>
        <v>8273.2800000000007</v>
      </c>
      <c r="L185" s="277">
        <f t="shared" si="12"/>
        <v>3309.3120000000113</v>
      </c>
      <c r="M185" s="277">
        <f t="shared" si="13"/>
        <v>0</v>
      </c>
      <c r="N185" s="277">
        <f t="shared" si="14"/>
        <v>3309.3120000000113</v>
      </c>
    </row>
    <row r="186" spans="2:14">
      <c r="B186" s="281">
        <f t="shared" si="15"/>
        <v>16</v>
      </c>
      <c r="C186" s="281">
        <f t="shared" si="16"/>
        <v>9</v>
      </c>
      <c r="D186" s="558">
        <v>30</v>
      </c>
      <c r="E186" s="286"/>
      <c r="F186" s="286"/>
      <c r="G186" s="282">
        <f t="shared" si="17"/>
        <v>200160</v>
      </c>
      <c r="H186" s="283">
        <f>HLOOKUP($C186,'1'!$D$35:$O$38,3,FALSE)</f>
        <v>1.2</v>
      </c>
      <c r="I186" s="284">
        <f>HLOOKUP($C186,'1'!$D$35:$O$38,4,FALSE)</f>
        <v>0.98</v>
      </c>
      <c r="J186" s="282">
        <f>'1'!$E$42*D186*24</f>
        <v>200160</v>
      </c>
      <c r="K186" s="277">
        <f>(J186*'1'!$E$43)</f>
        <v>8006.4000000000005</v>
      </c>
      <c r="L186" s="277">
        <f t="shared" si="12"/>
        <v>4803.8400000000138</v>
      </c>
      <c r="M186" s="277">
        <f t="shared" si="13"/>
        <v>0</v>
      </c>
      <c r="N186" s="277">
        <f t="shared" si="14"/>
        <v>4803.8400000000138</v>
      </c>
    </row>
    <row r="187" spans="2:14">
      <c r="B187" s="281">
        <f t="shared" si="15"/>
        <v>16</v>
      </c>
      <c r="C187" s="281">
        <f t="shared" si="16"/>
        <v>10</v>
      </c>
      <c r="D187" s="558">
        <v>31</v>
      </c>
      <c r="E187" s="286"/>
      <c r="F187" s="286"/>
      <c r="G187" s="282">
        <f t="shared" si="17"/>
        <v>206832</v>
      </c>
      <c r="H187" s="283">
        <f>HLOOKUP($C187,'1'!$D$35:$O$38,3,FALSE)</f>
        <v>1.2</v>
      </c>
      <c r="I187" s="284">
        <f>HLOOKUP($C187,'1'!$D$35:$O$38,4,FALSE)</f>
        <v>0.98</v>
      </c>
      <c r="J187" s="282">
        <f>'1'!$E$42*D187*24</f>
        <v>206832</v>
      </c>
      <c r="K187" s="277">
        <f>(J187*'1'!$E$43)</f>
        <v>8273.2800000000007</v>
      </c>
      <c r="L187" s="277">
        <f t="shared" si="12"/>
        <v>4963.9680000000162</v>
      </c>
      <c r="M187" s="277">
        <f t="shared" si="13"/>
        <v>0</v>
      </c>
      <c r="N187" s="277">
        <f t="shared" si="14"/>
        <v>4963.9680000000162</v>
      </c>
    </row>
    <row r="188" spans="2:14">
      <c r="B188" s="281">
        <f t="shared" si="15"/>
        <v>16</v>
      </c>
      <c r="C188" s="281">
        <f t="shared" si="16"/>
        <v>11</v>
      </c>
      <c r="D188" s="558">
        <v>30</v>
      </c>
      <c r="E188" s="286"/>
      <c r="F188" s="286"/>
      <c r="G188" s="282">
        <f t="shared" si="17"/>
        <v>200160</v>
      </c>
      <c r="H188" s="283">
        <f>HLOOKUP($C188,'1'!$D$35:$O$38,3,FALSE)</f>
        <v>1.2</v>
      </c>
      <c r="I188" s="284">
        <f>HLOOKUP($C188,'1'!$D$35:$O$38,4,FALSE)</f>
        <v>0.98</v>
      </c>
      <c r="J188" s="282">
        <f>'1'!$E$42*D188*24</f>
        <v>200160</v>
      </c>
      <c r="K188" s="277">
        <f>(J188*'1'!$E$43)</f>
        <v>8006.4000000000005</v>
      </c>
      <c r="L188" s="277">
        <f t="shared" si="12"/>
        <v>4803.8400000000138</v>
      </c>
      <c r="M188" s="277">
        <f t="shared" si="13"/>
        <v>0</v>
      </c>
      <c r="N188" s="277">
        <f t="shared" si="14"/>
        <v>4803.8400000000138</v>
      </c>
    </row>
    <row r="189" spans="2:14">
      <c r="B189" s="281">
        <f t="shared" si="15"/>
        <v>16</v>
      </c>
      <c r="C189" s="281">
        <f t="shared" si="16"/>
        <v>12</v>
      </c>
      <c r="D189" s="558">
        <v>31</v>
      </c>
      <c r="E189" s="286"/>
      <c r="F189" s="286"/>
      <c r="G189" s="282">
        <f t="shared" si="17"/>
        <v>206832</v>
      </c>
      <c r="H189" s="283">
        <f>HLOOKUP($C189,'1'!$D$35:$O$38,3,FALSE)</f>
        <v>1.2</v>
      </c>
      <c r="I189" s="284">
        <f>HLOOKUP($C189,'1'!$D$35:$O$38,4,FALSE)</f>
        <v>0.98</v>
      </c>
      <c r="J189" s="282">
        <f>'1'!$E$42*D189*24</f>
        <v>206832</v>
      </c>
      <c r="K189" s="277">
        <f>(J189*'1'!$E$43)</f>
        <v>8273.2800000000007</v>
      </c>
      <c r="L189" s="277">
        <f t="shared" si="12"/>
        <v>4963.9680000000162</v>
      </c>
      <c r="M189" s="277">
        <f t="shared" si="13"/>
        <v>0</v>
      </c>
      <c r="N189" s="277">
        <f t="shared" si="14"/>
        <v>4963.9680000000162</v>
      </c>
    </row>
    <row r="190" spans="2:14">
      <c r="B190" s="281">
        <f t="shared" si="15"/>
        <v>17</v>
      </c>
      <c r="C190" s="281">
        <f t="shared" si="16"/>
        <v>1</v>
      </c>
      <c r="D190" s="558">
        <v>31</v>
      </c>
      <c r="E190" s="286"/>
      <c r="F190" s="286"/>
      <c r="G190" s="282">
        <f t="shared" si="17"/>
        <v>206832</v>
      </c>
      <c r="H190" s="283">
        <f>HLOOKUP($C190,'1'!$D$35:$O$38,3,FALSE)</f>
        <v>1.2</v>
      </c>
      <c r="I190" s="284">
        <f>HLOOKUP($C190,'1'!$D$35:$O$38,4,FALSE)</f>
        <v>0.98</v>
      </c>
      <c r="J190" s="282">
        <f>'1'!$E$42*D190*24</f>
        <v>206832</v>
      </c>
      <c r="K190" s="277">
        <f>(J190*'1'!$E$43)</f>
        <v>8273.2800000000007</v>
      </c>
      <c r="L190" s="277">
        <f t="shared" si="12"/>
        <v>4963.9680000000162</v>
      </c>
      <c r="M190" s="277">
        <f t="shared" si="13"/>
        <v>0</v>
      </c>
      <c r="N190" s="277">
        <f t="shared" si="14"/>
        <v>4963.9680000000162</v>
      </c>
    </row>
    <row r="191" spans="2:14">
      <c r="B191" s="281">
        <f t="shared" si="15"/>
        <v>17</v>
      </c>
      <c r="C191" s="281">
        <f t="shared" si="16"/>
        <v>2</v>
      </c>
      <c r="D191" s="558">
        <v>28.25</v>
      </c>
      <c r="E191" s="286"/>
      <c r="F191" s="286"/>
      <c r="G191" s="282">
        <f t="shared" si="17"/>
        <v>188484</v>
      </c>
      <c r="H191" s="283">
        <f>HLOOKUP($C191,'1'!$D$35:$O$38,3,FALSE)</f>
        <v>1.2</v>
      </c>
      <c r="I191" s="284">
        <f>HLOOKUP($C191,'1'!$D$35:$O$38,4,FALSE)</f>
        <v>0.98</v>
      </c>
      <c r="J191" s="282">
        <f>'1'!$E$42*D191*24</f>
        <v>188484</v>
      </c>
      <c r="K191" s="277">
        <f>(J191*'1'!$E$43)</f>
        <v>7539.3600000000006</v>
      </c>
      <c r="L191" s="277">
        <f t="shared" si="12"/>
        <v>4523.6159999999918</v>
      </c>
      <c r="M191" s="277">
        <f t="shared" si="13"/>
        <v>0</v>
      </c>
      <c r="N191" s="277">
        <f t="shared" si="14"/>
        <v>4523.6159999999918</v>
      </c>
    </row>
    <row r="192" spans="2:14">
      <c r="B192" s="281">
        <f t="shared" si="15"/>
        <v>17</v>
      </c>
      <c r="C192" s="281">
        <f t="shared" si="16"/>
        <v>3</v>
      </c>
      <c r="D192" s="558">
        <v>31</v>
      </c>
      <c r="E192" s="286"/>
      <c r="F192" s="286"/>
      <c r="G192" s="282">
        <f t="shared" si="17"/>
        <v>206832</v>
      </c>
      <c r="H192" s="283">
        <f>HLOOKUP($C192,'1'!$D$35:$O$38,3,FALSE)</f>
        <v>0.8</v>
      </c>
      <c r="I192" s="284">
        <f>HLOOKUP($C192,'1'!$D$35:$O$38,4,FALSE)</f>
        <v>0.98</v>
      </c>
      <c r="J192" s="282">
        <f>'1'!$E$42*D192*24</f>
        <v>206832</v>
      </c>
      <c r="K192" s="277">
        <f>(J192*'1'!$E$43)</f>
        <v>8273.2800000000007</v>
      </c>
      <c r="L192" s="277">
        <f t="shared" si="12"/>
        <v>3309.3120000000113</v>
      </c>
      <c r="M192" s="277">
        <f t="shared" si="13"/>
        <v>0</v>
      </c>
      <c r="N192" s="277">
        <f t="shared" si="14"/>
        <v>3309.3120000000113</v>
      </c>
    </row>
    <row r="193" spans="2:14">
      <c r="B193" s="281">
        <f t="shared" si="15"/>
        <v>17</v>
      </c>
      <c r="C193" s="281">
        <f t="shared" si="16"/>
        <v>4</v>
      </c>
      <c r="D193" s="558">
        <v>30</v>
      </c>
      <c r="E193" s="286"/>
      <c r="F193" s="286"/>
      <c r="G193" s="282">
        <f t="shared" si="17"/>
        <v>200160</v>
      </c>
      <c r="H193" s="283">
        <f>HLOOKUP($C193,'1'!$D$35:$O$38,3,FALSE)</f>
        <v>0.8</v>
      </c>
      <c r="I193" s="284">
        <f>HLOOKUP($C193,'1'!$D$35:$O$38,4,FALSE)</f>
        <v>0.98</v>
      </c>
      <c r="J193" s="282">
        <f>'1'!$E$42*D193*24</f>
        <v>200160</v>
      </c>
      <c r="K193" s="277">
        <f>(J193*'1'!$E$43)</f>
        <v>8006.4000000000005</v>
      </c>
      <c r="L193" s="277">
        <f t="shared" si="12"/>
        <v>3202.5600000000095</v>
      </c>
      <c r="M193" s="277">
        <f t="shared" si="13"/>
        <v>0</v>
      </c>
      <c r="N193" s="277">
        <f t="shared" si="14"/>
        <v>3202.5600000000095</v>
      </c>
    </row>
    <row r="194" spans="2:14">
      <c r="B194" s="281">
        <f t="shared" si="15"/>
        <v>17</v>
      </c>
      <c r="C194" s="281">
        <f t="shared" si="16"/>
        <v>5</v>
      </c>
      <c r="D194" s="558">
        <v>31</v>
      </c>
      <c r="E194" s="286"/>
      <c r="F194" s="286"/>
      <c r="G194" s="282">
        <f t="shared" si="17"/>
        <v>206832</v>
      </c>
      <c r="H194" s="283">
        <f>HLOOKUP($C194,'1'!$D$35:$O$38,3,FALSE)</f>
        <v>0.8</v>
      </c>
      <c r="I194" s="284">
        <f>HLOOKUP($C194,'1'!$D$35:$O$38,4,FALSE)</f>
        <v>0.98</v>
      </c>
      <c r="J194" s="282">
        <f>'1'!$E$42*D194*24</f>
        <v>206832</v>
      </c>
      <c r="K194" s="277">
        <f>(J194*'1'!$E$43)</f>
        <v>8273.2800000000007</v>
      </c>
      <c r="L194" s="277">
        <f t="shared" si="12"/>
        <v>3309.3120000000113</v>
      </c>
      <c r="M194" s="277">
        <f t="shared" si="13"/>
        <v>0</v>
      </c>
      <c r="N194" s="277">
        <f t="shared" si="14"/>
        <v>3309.3120000000113</v>
      </c>
    </row>
    <row r="195" spans="2:14">
      <c r="B195" s="281">
        <f t="shared" si="15"/>
        <v>17</v>
      </c>
      <c r="C195" s="281">
        <f t="shared" si="16"/>
        <v>6</v>
      </c>
      <c r="D195" s="558">
        <v>30</v>
      </c>
      <c r="E195" s="286"/>
      <c r="F195" s="286"/>
      <c r="G195" s="282">
        <f t="shared" si="17"/>
        <v>200160</v>
      </c>
      <c r="H195" s="283">
        <f>HLOOKUP($C195,'1'!$D$35:$O$38,3,FALSE)</f>
        <v>0.8</v>
      </c>
      <c r="I195" s="284">
        <f>HLOOKUP($C195,'1'!$D$35:$O$38,4,FALSE)</f>
        <v>0.98</v>
      </c>
      <c r="J195" s="282">
        <f>'1'!$E$42*D195*24</f>
        <v>200160</v>
      </c>
      <c r="K195" s="277">
        <f>(J195*'1'!$E$43)</f>
        <v>8006.4000000000005</v>
      </c>
      <c r="L195" s="277">
        <f t="shared" si="12"/>
        <v>3202.5600000000095</v>
      </c>
      <c r="M195" s="277">
        <f t="shared" si="13"/>
        <v>0</v>
      </c>
      <c r="N195" s="277">
        <f t="shared" si="14"/>
        <v>3202.5600000000095</v>
      </c>
    </row>
    <row r="196" spans="2:14">
      <c r="B196" s="281">
        <f t="shared" si="15"/>
        <v>17</v>
      </c>
      <c r="C196" s="281">
        <f t="shared" si="16"/>
        <v>7</v>
      </c>
      <c r="D196" s="558">
        <v>31</v>
      </c>
      <c r="E196" s="286"/>
      <c r="F196" s="286"/>
      <c r="G196" s="282">
        <f t="shared" si="17"/>
        <v>206832</v>
      </c>
      <c r="H196" s="283">
        <f>HLOOKUP($C196,'1'!$D$35:$O$38,3,FALSE)</f>
        <v>0.8</v>
      </c>
      <c r="I196" s="284">
        <f>HLOOKUP($C196,'1'!$D$35:$O$38,4,FALSE)</f>
        <v>0.98</v>
      </c>
      <c r="J196" s="282">
        <f>'1'!$E$42*D196*24</f>
        <v>206832</v>
      </c>
      <c r="K196" s="277">
        <f>(J196*'1'!$E$43)</f>
        <v>8273.2800000000007</v>
      </c>
      <c r="L196" s="277">
        <f t="shared" si="12"/>
        <v>3309.3120000000113</v>
      </c>
      <c r="M196" s="277">
        <f t="shared" si="13"/>
        <v>0</v>
      </c>
      <c r="N196" s="277">
        <f t="shared" si="14"/>
        <v>3309.3120000000113</v>
      </c>
    </row>
    <row r="197" spans="2:14">
      <c r="B197" s="281">
        <f t="shared" si="15"/>
        <v>17</v>
      </c>
      <c r="C197" s="281">
        <f t="shared" si="16"/>
        <v>8</v>
      </c>
      <c r="D197" s="558">
        <v>31</v>
      </c>
      <c r="E197" s="286"/>
      <c r="F197" s="286"/>
      <c r="G197" s="282">
        <f t="shared" si="17"/>
        <v>206832</v>
      </c>
      <c r="H197" s="283">
        <f>HLOOKUP($C197,'1'!$D$35:$O$38,3,FALSE)</f>
        <v>0.8</v>
      </c>
      <c r="I197" s="284">
        <f>HLOOKUP($C197,'1'!$D$35:$O$38,4,FALSE)</f>
        <v>0.98</v>
      </c>
      <c r="J197" s="282">
        <f>'1'!$E$42*D197*24</f>
        <v>206832</v>
      </c>
      <c r="K197" s="277">
        <f>(J197*'1'!$E$43)</f>
        <v>8273.2800000000007</v>
      </c>
      <c r="L197" s="277">
        <f t="shared" si="12"/>
        <v>3309.3120000000113</v>
      </c>
      <c r="M197" s="277">
        <f t="shared" si="13"/>
        <v>0</v>
      </c>
      <c r="N197" s="277">
        <f t="shared" si="14"/>
        <v>3309.3120000000113</v>
      </c>
    </row>
    <row r="198" spans="2:14">
      <c r="B198" s="281">
        <f t="shared" si="15"/>
        <v>17</v>
      </c>
      <c r="C198" s="281">
        <f t="shared" si="16"/>
        <v>9</v>
      </c>
      <c r="D198" s="558">
        <v>30</v>
      </c>
      <c r="E198" s="286"/>
      <c r="F198" s="286"/>
      <c r="G198" s="282">
        <f t="shared" si="17"/>
        <v>200160</v>
      </c>
      <c r="H198" s="283">
        <f>HLOOKUP($C198,'1'!$D$35:$O$38,3,FALSE)</f>
        <v>1.2</v>
      </c>
      <c r="I198" s="284">
        <f>HLOOKUP($C198,'1'!$D$35:$O$38,4,FALSE)</f>
        <v>0.98</v>
      </c>
      <c r="J198" s="282">
        <f>'1'!$E$42*D198*24</f>
        <v>200160</v>
      </c>
      <c r="K198" s="277">
        <f>(J198*'1'!$E$43)</f>
        <v>8006.4000000000005</v>
      </c>
      <c r="L198" s="277">
        <f t="shared" si="12"/>
        <v>4803.8400000000138</v>
      </c>
      <c r="M198" s="277">
        <f t="shared" si="13"/>
        <v>0</v>
      </c>
      <c r="N198" s="277">
        <f t="shared" si="14"/>
        <v>4803.8400000000138</v>
      </c>
    </row>
    <row r="199" spans="2:14">
      <c r="B199" s="281">
        <f t="shared" si="15"/>
        <v>17</v>
      </c>
      <c r="C199" s="281">
        <f t="shared" si="16"/>
        <v>10</v>
      </c>
      <c r="D199" s="558">
        <v>31</v>
      </c>
      <c r="E199" s="286"/>
      <c r="F199" s="286"/>
      <c r="G199" s="282">
        <f t="shared" si="17"/>
        <v>206832</v>
      </c>
      <c r="H199" s="283">
        <f>HLOOKUP($C199,'1'!$D$35:$O$38,3,FALSE)</f>
        <v>1.2</v>
      </c>
      <c r="I199" s="284">
        <f>HLOOKUP($C199,'1'!$D$35:$O$38,4,FALSE)</f>
        <v>0.98</v>
      </c>
      <c r="J199" s="282">
        <f>'1'!$E$42*D199*24</f>
        <v>206832</v>
      </c>
      <c r="K199" s="277">
        <f>(J199*'1'!$E$43)</f>
        <v>8273.2800000000007</v>
      </c>
      <c r="L199" s="277">
        <f t="shared" si="12"/>
        <v>4963.9680000000162</v>
      </c>
      <c r="M199" s="277">
        <f t="shared" si="13"/>
        <v>0</v>
      </c>
      <c r="N199" s="277">
        <f t="shared" si="14"/>
        <v>4963.9680000000162</v>
      </c>
    </row>
    <row r="200" spans="2:14">
      <c r="B200" s="281">
        <f t="shared" si="15"/>
        <v>17</v>
      </c>
      <c r="C200" s="281">
        <f t="shared" si="16"/>
        <v>11</v>
      </c>
      <c r="D200" s="558">
        <v>30</v>
      </c>
      <c r="E200" s="286"/>
      <c r="F200" s="286"/>
      <c r="G200" s="282">
        <f t="shared" si="17"/>
        <v>200160</v>
      </c>
      <c r="H200" s="283">
        <f>HLOOKUP($C200,'1'!$D$35:$O$38,3,FALSE)</f>
        <v>1.2</v>
      </c>
      <c r="I200" s="284">
        <f>HLOOKUP($C200,'1'!$D$35:$O$38,4,FALSE)</f>
        <v>0.98</v>
      </c>
      <c r="J200" s="282">
        <f>'1'!$E$42*D200*24</f>
        <v>200160</v>
      </c>
      <c r="K200" s="277">
        <f>(J200*'1'!$E$43)</f>
        <v>8006.4000000000005</v>
      </c>
      <c r="L200" s="277">
        <f t="shared" si="12"/>
        <v>4803.8400000000138</v>
      </c>
      <c r="M200" s="277">
        <f t="shared" si="13"/>
        <v>0</v>
      </c>
      <c r="N200" s="277">
        <f t="shared" si="14"/>
        <v>4803.8400000000138</v>
      </c>
    </row>
    <row r="201" spans="2:14">
      <c r="B201" s="281">
        <f t="shared" si="15"/>
        <v>17</v>
      </c>
      <c r="C201" s="281">
        <f t="shared" si="16"/>
        <v>12</v>
      </c>
      <c r="D201" s="558">
        <v>31</v>
      </c>
      <c r="E201" s="286"/>
      <c r="F201" s="286"/>
      <c r="G201" s="282">
        <f t="shared" si="17"/>
        <v>206832</v>
      </c>
      <c r="H201" s="283">
        <f>HLOOKUP($C201,'1'!$D$35:$O$38,3,FALSE)</f>
        <v>1.2</v>
      </c>
      <c r="I201" s="284">
        <f>HLOOKUP($C201,'1'!$D$35:$O$38,4,FALSE)</f>
        <v>0.98</v>
      </c>
      <c r="J201" s="282">
        <f>'1'!$E$42*D201*24</f>
        <v>206832</v>
      </c>
      <c r="K201" s="277">
        <f>(J201*'1'!$E$43)</f>
        <v>8273.2800000000007</v>
      </c>
      <c r="L201" s="277">
        <f t="shared" si="12"/>
        <v>4963.9680000000162</v>
      </c>
      <c r="M201" s="277">
        <f t="shared" si="13"/>
        <v>0</v>
      </c>
      <c r="N201" s="277">
        <f t="shared" si="14"/>
        <v>4963.9680000000162</v>
      </c>
    </row>
    <row r="202" spans="2:14">
      <c r="B202" s="281">
        <f t="shared" si="15"/>
        <v>18</v>
      </c>
      <c r="C202" s="281">
        <f t="shared" si="16"/>
        <v>1</v>
      </c>
      <c r="D202" s="558">
        <v>31</v>
      </c>
      <c r="E202" s="286"/>
      <c r="F202" s="286"/>
      <c r="G202" s="282">
        <f t="shared" si="17"/>
        <v>206832</v>
      </c>
      <c r="H202" s="283">
        <f>HLOOKUP($C202,'1'!$D$35:$O$38,3,FALSE)</f>
        <v>1.2</v>
      </c>
      <c r="I202" s="284">
        <f>HLOOKUP($C202,'1'!$D$35:$O$38,4,FALSE)</f>
        <v>0.98</v>
      </c>
      <c r="J202" s="282">
        <f>'1'!$E$42*D202*24</f>
        <v>206832</v>
      </c>
      <c r="K202" s="277">
        <f>(J202*'1'!$E$43)</f>
        <v>8273.2800000000007</v>
      </c>
      <c r="L202" s="277">
        <f t="shared" ref="L202:L249" si="18">(G202-(J202*I202))*H202</f>
        <v>4963.9680000000162</v>
      </c>
      <c r="M202" s="277">
        <f t="shared" ref="M202:M249" si="19">IF(L202&lt;0,L202,0)</f>
        <v>0</v>
      </c>
      <c r="N202" s="277">
        <f t="shared" ref="N202:N249" si="20">IF(L202&gt;0,L202,0)</f>
        <v>4963.9680000000162</v>
      </c>
    </row>
    <row r="203" spans="2:14">
      <c r="B203" s="281">
        <f t="shared" ref="B203:B249" si="21">IF(C203=1,B202+1,B202)</f>
        <v>18</v>
      </c>
      <c r="C203" s="281">
        <f t="shared" ref="C203:C261" si="22">IF(C202=12,1,C202+1)</f>
        <v>2</v>
      </c>
      <c r="D203" s="558">
        <v>28.25</v>
      </c>
      <c r="E203" s="286"/>
      <c r="F203" s="286"/>
      <c r="G203" s="282">
        <f t="shared" ref="G203:G249" si="23">J203-(E203+F203)</f>
        <v>188484</v>
      </c>
      <c r="H203" s="283">
        <f>HLOOKUP($C203,'1'!$D$35:$O$38,3,FALSE)</f>
        <v>1.2</v>
      </c>
      <c r="I203" s="284">
        <f>HLOOKUP($C203,'1'!$D$35:$O$38,4,FALSE)</f>
        <v>0.98</v>
      </c>
      <c r="J203" s="282">
        <f>'1'!$E$42*D203*24</f>
        <v>188484</v>
      </c>
      <c r="K203" s="277">
        <f>(J203*'1'!$E$43)</f>
        <v>7539.3600000000006</v>
      </c>
      <c r="L203" s="277">
        <f t="shared" si="18"/>
        <v>4523.6159999999918</v>
      </c>
      <c r="M203" s="277">
        <f t="shared" si="19"/>
        <v>0</v>
      </c>
      <c r="N203" s="277">
        <f t="shared" si="20"/>
        <v>4523.6159999999918</v>
      </c>
    </row>
    <row r="204" spans="2:14">
      <c r="B204" s="281">
        <f t="shared" si="21"/>
        <v>18</v>
      </c>
      <c r="C204" s="281">
        <f t="shared" si="22"/>
        <v>3</v>
      </c>
      <c r="D204" s="558">
        <v>31</v>
      </c>
      <c r="E204" s="286"/>
      <c r="F204" s="286"/>
      <c r="G204" s="282">
        <f t="shared" si="23"/>
        <v>206832</v>
      </c>
      <c r="H204" s="283">
        <f>HLOOKUP($C204,'1'!$D$35:$O$38,3,FALSE)</f>
        <v>0.8</v>
      </c>
      <c r="I204" s="284">
        <f>HLOOKUP($C204,'1'!$D$35:$O$38,4,FALSE)</f>
        <v>0.98</v>
      </c>
      <c r="J204" s="282">
        <f>'1'!$E$42*D204*24</f>
        <v>206832</v>
      </c>
      <c r="K204" s="277">
        <f>(J204*'1'!$E$43)</f>
        <v>8273.2800000000007</v>
      </c>
      <c r="L204" s="277">
        <f t="shared" si="18"/>
        <v>3309.3120000000113</v>
      </c>
      <c r="M204" s="277">
        <f t="shared" si="19"/>
        <v>0</v>
      </c>
      <c r="N204" s="277">
        <f t="shared" si="20"/>
        <v>3309.3120000000113</v>
      </c>
    </row>
    <row r="205" spans="2:14">
      <c r="B205" s="281">
        <f t="shared" si="21"/>
        <v>18</v>
      </c>
      <c r="C205" s="281">
        <f t="shared" si="22"/>
        <v>4</v>
      </c>
      <c r="D205" s="558">
        <v>30</v>
      </c>
      <c r="E205" s="286"/>
      <c r="F205" s="286"/>
      <c r="G205" s="282">
        <f t="shared" si="23"/>
        <v>200160</v>
      </c>
      <c r="H205" s="283">
        <f>HLOOKUP($C205,'1'!$D$35:$O$38,3,FALSE)</f>
        <v>0.8</v>
      </c>
      <c r="I205" s="284">
        <f>HLOOKUP($C205,'1'!$D$35:$O$38,4,FALSE)</f>
        <v>0.98</v>
      </c>
      <c r="J205" s="282">
        <f>'1'!$E$42*D205*24</f>
        <v>200160</v>
      </c>
      <c r="K205" s="277">
        <f>(J205*'1'!$E$43)</f>
        <v>8006.4000000000005</v>
      </c>
      <c r="L205" s="277">
        <f t="shared" si="18"/>
        <v>3202.5600000000095</v>
      </c>
      <c r="M205" s="277">
        <f t="shared" si="19"/>
        <v>0</v>
      </c>
      <c r="N205" s="277">
        <f t="shared" si="20"/>
        <v>3202.5600000000095</v>
      </c>
    </row>
    <row r="206" spans="2:14">
      <c r="B206" s="281">
        <f t="shared" si="21"/>
        <v>18</v>
      </c>
      <c r="C206" s="281">
        <f t="shared" si="22"/>
        <v>5</v>
      </c>
      <c r="D206" s="558">
        <v>31</v>
      </c>
      <c r="E206" s="286"/>
      <c r="F206" s="286"/>
      <c r="G206" s="282">
        <f t="shared" si="23"/>
        <v>206832</v>
      </c>
      <c r="H206" s="283">
        <f>HLOOKUP($C206,'1'!$D$35:$O$38,3,FALSE)</f>
        <v>0.8</v>
      </c>
      <c r="I206" s="284">
        <f>HLOOKUP($C206,'1'!$D$35:$O$38,4,FALSE)</f>
        <v>0.98</v>
      </c>
      <c r="J206" s="282">
        <f>'1'!$E$42*D206*24</f>
        <v>206832</v>
      </c>
      <c r="K206" s="277">
        <f>(J206*'1'!$E$43)</f>
        <v>8273.2800000000007</v>
      </c>
      <c r="L206" s="277">
        <f t="shared" si="18"/>
        <v>3309.3120000000113</v>
      </c>
      <c r="M206" s="277">
        <f t="shared" si="19"/>
        <v>0</v>
      </c>
      <c r="N206" s="277">
        <f t="shared" si="20"/>
        <v>3309.3120000000113</v>
      </c>
    </row>
    <row r="207" spans="2:14">
      <c r="B207" s="281">
        <f t="shared" si="21"/>
        <v>18</v>
      </c>
      <c r="C207" s="281">
        <f t="shared" si="22"/>
        <v>6</v>
      </c>
      <c r="D207" s="558">
        <v>30</v>
      </c>
      <c r="E207" s="286"/>
      <c r="F207" s="286"/>
      <c r="G207" s="282">
        <f t="shared" si="23"/>
        <v>200160</v>
      </c>
      <c r="H207" s="283">
        <f>HLOOKUP($C207,'1'!$D$35:$O$38,3,FALSE)</f>
        <v>0.8</v>
      </c>
      <c r="I207" s="284">
        <f>HLOOKUP($C207,'1'!$D$35:$O$38,4,FALSE)</f>
        <v>0.98</v>
      </c>
      <c r="J207" s="282">
        <f>'1'!$E$42*D207*24</f>
        <v>200160</v>
      </c>
      <c r="K207" s="277">
        <f>(J207*'1'!$E$43)</f>
        <v>8006.4000000000005</v>
      </c>
      <c r="L207" s="277">
        <f t="shared" si="18"/>
        <v>3202.5600000000095</v>
      </c>
      <c r="M207" s="277">
        <f t="shared" si="19"/>
        <v>0</v>
      </c>
      <c r="N207" s="277">
        <f t="shared" si="20"/>
        <v>3202.5600000000095</v>
      </c>
    </row>
    <row r="208" spans="2:14">
      <c r="B208" s="281">
        <f t="shared" si="21"/>
        <v>18</v>
      </c>
      <c r="C208" s="281">
        <f t="shared" si="22"/>
        <v>7</v>
      </c>
      <c r="D208" s="558">
        <v>31</v>
      </c>
      <c r="E208" s="286"/>
      <c r="F208" s="286"/>
      <c r="G208" s="282">
        <f t="shared" si="23"/>
        <v>206832</v>
      </c>
      <c r="H208" s="283">
        <f>HLOOKUP($C208,'1'!$D$35:$O$38,3,FALSE)</f>
        <v>0.8</v>
      </c>
      <c r="I208" s="284">
        <f>HLOOKUP($C208,'1'!$D$35:$O$38,4,FALSE)</f>
        <v>0.98</v>
      </c>
      <c r="J208" s="282">
        <f>'1'!$E$42*D208*24</f>
        <v>206832</v>
      </c>
      <c r="K208" s="277">
        <f>(J208*'1'!$E$43)</f>
        <v>8273.2800000000007</v>
      </c>
      <c r="L208" s="277">
        <f t="shared" si="18"/>
        <v>3309.3120000000113</v>
      </c>
      <c r="M208" s="277">
        <f t="shared" si="19"/>
        <v>0</v>
      </c>
      <c r="N208" s="277">
        <f t="shared" si="20"/>
        <v>3309.3120000000113</v>
      </c>
    </row>
    <row r="209" spans="2:14">
      <c r="B209" s="281">
        <f t="shared" si="21"/>
        <v>18</v>
      </c>
      <c r="C209" s="281">
        <f t="shared" si="22"/>
        <v>8</v>
      </c>
      <c r="D209" s="558">
        <v>31</v>
      </c>
      <c r="E209" s="286"/>
      <c r="F209" s="286"/>
      <c r="G209" s="282">
        <f t="shared" si="23"/>
        <v>206832</v>
      </c>
      <c r="H209" s="283">
        <f>HLOOKUP($C209,'1'!$D$35:$O$38,3,FALSE)</f>
        <v>0.8</v>
      </c>
      <c r="I209" s="284">
        <f>HLOOKUP($C209,'1'!$D$35:$O$38,4,FALSE)</f>
        <v>0.98</v>
      </c>
      <c r="J209" s="282">
        <f>'1'!$E$42*D209*24</f>
        <v>206832</v>
      </c>
      <c r="K209" s="277">
        <f>(J209*'1'!$E$43)</f>
        <v>8273.2800000000007</v>
      </c>
      <c r="L209" s="277">
        <f t="shared" si="18"/>
        <v>3309.3120000000113</v>
      </c>
      <c r="M209" s="277">
        <f t="shared" si="19"/>
        <v>0</v>
      </c>
      <c r="N209" s="277">
        <f t="shared" si="20"/>
        <v>3309.3120000000113</v>
      </c>
    </row>
    <row r="210" spans="2:14">
      <c r="B210" s="281">
        <f t="shared" si="21"/>
        <v>18</v>
      </c>
      <c r="C210" s="281">
        <f t="shared" si="22"/>
        <v>9</v>
      </c>
      <c r="D210" s="558">
        <v>30</v>
      </c>
      <c r="E210" s="286"/>
      <c r="F210" s="286"/>
      <c r="G210" s="282">
        <f t="shared" si="23"/>
        <v>200160</v>
      </c>
      <c r="H210" s="283">
        <f>HLOOKUP($C210,'1'!$D$35:$O$38,3,FALSE)</f>
        <v>1.2</v>
      </c>
      <c r="I210" s="284">
        <f>HLOOKUP($C210,'1'!$D$35:$O$38,4,FALSE)</f>
        <v>0.98</v>
      </c>
      <c r="J210" s="282">
        <f>'1'!$E$42*D210*24</f>
        <v>200160</v>
      </c>
      <c r="K210" s="277">
        <f>(J210*'1'!$E$43)</f>
        <v>8006.4000000000005</v>
      </c>
      <c r="L210" s="277">
        <f t="shared" si="18"/>
        <v>4803.8400000000138</v>
      </c>
      <c r="M210" s="277">
        <f t="shared" si="19"/>
        <v>0</v>
      </c>
      <c r="N210" s="277">
        <f t="shared" si="20"/>
        <v>4803.8400000000138</v>
      </c>
    </row>
    <row r="211" spans="2:14">
      <c r="B211" s="281">
        <f t="shared" si="21"/>
        <v>18</v>
      </c>
      <c r="C211" s="281">
        <f t="shared" si="22"/>
        <v>10</v>
      </c>
      <c r="D211" s="558">
        <v>31</v>
      </c>
      <c r="E211" s="286"/>
      <c r="F211" s="286"/>
      <c r="G211" s="282">
        <f t="shared" si="23"/>
        <v>206832</v>
      </c>
      <c r="H211" s="283">
        <f>HLOOKUP($C211,'1'!$D$35:$O$38,3,FALSE)</f>
        <v>1.2</v>
      </c>
      <c r="I211" s="284">
        <f>HLOOKUP($C211,'1'!$D$35:$O$38,4,FALSE)</f>
        <v>0.98</v>
      </c>
      <c r="J211" s="282">
        <f>'1'!$E$42*D211*24</f>
        <v>206832</v>
      </c>
      <c r="K211" s="277">
        <f>(J211*'1'!$E$43)</f>
        <v>8273.2800000000007</v>
      </c>
      <c r="L211" s="277">
        <f t="shared" si="18"/>
        <v>4963.9680000000162</v>
      </c>
      <c r="M211" s="277">
        <f t="shared" si="19"/>
        <v>0</v>
      </c>
      <c r="N211" s="277">
        <f t="shared" si="20"/>
        <v>4963.9680000000162</v>
      </c>
    </row>
    <row r="212" spans="2:14">
      <c r="B212" s="281">
        <f t="shared" si="21"/>
        <v>18</v>
      </c>
      <c r="C212" s="281">
        <f t="shared" si="22"/>
        <v>11</v>
      </c>
      <c r="D212" s="558">
        <v>30</v>
      </c>
      <c r="E212" s="286"/>
      <c r="F212" s="286"/>
      <c r="G212" s="282">
        <f t="shared" si="23"/>
        <v>200160</v>
      </c>
      <c r="H212" s="283">
        <f>HLOOKUP($C212,'1'!$D$35:$O$38,3,FALSE)</f>
        <v>1.2</v>
      </c>
      <c r="I212" s="284">
        <f>HLOOKUP($C212,'1'!$D$35:$O$38,4,FALSE)</f>
        <v>0.98</v>
      </c>
      <c r="J212" s="282">
        <f>'1'!$E$42*D212*24</f>
        <v>200160</v>
      </c>
      <c r="K212" s="277">
        <f>(J212*'1'!$E$43)</f>
        <v>8006.4000000000005</v>
      </c>
      <c r="L212" s="277">
        <f t="shared" si="18"/>
        <v>4803.8400000000138</v>
      </c>
      <c r="M212" s="277">
        <f t="shared" si="19"/>
        <v>0</v>
      </c>
      <c r="N212" s="277">
        <f t="shared" si="20"/>
        <v>4803.8400000000138</v>
      </c>
    </row>
    <row r="213" spans="2:14">
      <c r="B213" s="281">
        <f t="shared" si="21"/>
        <v>18</v>
      </c>
      <c r="C213" s="281">
        <f t="shared" si="22"/>
        <v>12</v>
      </c>
      <c r="D213" s="558">
        <v>31</v>
      </c>
      <c r="E213" s="286"/>
      <c r="F213" s="286"/>
      <c r="G213" s="282">
        <f t="shared" si="23"/>
        <v>206832</v>
      </c>
      <c r="H213" s="283">
        <f>HLOOKUP($C213,'1'!$D$35:$O$38,3,FALSE)</f>
        <v>1.2</v>
      </c>
      <c r="I213" s="284">
        <f>HLOOKUP($C213,'1'!$D$35:$O$38,4,FALSE)</f>
        <v>0.98</v>
      </c>
      <c r="J213" s="282">
        <f>'1'!$E$42*D213*24</f>
        <v>206832</v>
      </c>
      <c r="K213" s="277">
        <f>(J213*'1'!$E$43)</f>
        <v>8273.2800000000007</v>
      </c>
      <c r="L213" s="277">
        <f t="shared" si="18"/>
        <v>4963.9680000000162</v>
      </c>
      <c r="M213" s="277">
        <f t="shared" si="19"/>
        <v>0</v>
      </c>
      <c r="N213" s="277">
        <f t="shared" si="20"/>
        <v>4963.9680000000162</v>
      </c>
    </row>
    <row r="214" spans="2:14">
      <c r="B214" s="281">
        <f t="shared" si="21"/>
        <v>19</v>
      </c>
      <c r="C214" s="281">
        <f t="shared" si="22"/>
        <v>1</v>
      </c>
      <c r="D214" s="558">
        <v>31</v>
      </c>
      <c r="E214" s="286"/>
      <c r="F214" s="286"/>
      <c r="G214" s="282">
        <f t="shared" si="23"/>
        <v>206832</v>
      </c>
      <c r="H214" s="283">
        <f>HLOOKUP($C214,'1'!$D$35:$O$38,3,FALSE)</f>
        <v>1.2</v>
      </c>
      <c r="I214" s="284">
        <f>HLOOKUP($C214,'1'!$D$35:$O$38,4,FALSE)</f>
        <v>0.98</v>
      </c>
      <c r="J214" s="282">
        <f>'1'!$E$42*D214*24</f>
        <v>206832</v>
      </c>
      <c r="K214" s="277">
        <f>(J214*'1'!$E$43)</f>
        <v>8273.2800000000007</v>
      </c>
      <c r="L214" s="277">
        <f t="shared" si="18"/>
        <v>4963.9680000000162</v>
      </c>
      <c r="M214" s="277">
        <f t="shared" si="19"/>
        <v>0</v>
      </c>
      <c r="N214" s="277">
        <f t="shared" si="20"/>
        <v>4963.9680000000162</v>
      </c>
    </row>
    <row r="215" spans="2:14">
      <c r="B215" s="281">
        <f t="shared" si="21"/>
        <v>19</v>
      </c>
      <c r="C215" s="281">
        <f t="shared" si="22"/>
        <v>2</v>
      </c>
      <c r="D215" s="558">
        <v>28.25</v>
      </c>
      <c r="E215" s="286"/>
      <c r="F215" s="286"/>
      <c r="G215" s="282">
        <f t="shared" si="23"/>
        <v>188484</v>
      </c>
      <c r="H215" s="283">
        <f>HLOOKUP($C215,'1'!$D$35:$O$38,3,FALSE)</f>
        <v>1.2</v>
      </c>
      <c r="I215" s="284">
        <f>HLOOKUP($C215,'1'!$D$35:$O$38,4,FALSE)</f>
        <v>0.98</v>
      </c>
      <c r="J215" s="282">
        <f>'1'!$E$42*D215*24</f>
        <v>188484</v>
      </c>
      <c r="K215" s="277">
        <f>(J215*'1'!$E$43)</f>
        <v>7539.3600000000006</v>
      </c>
      <c r="L215" s="277">
        <f t="shared" si="18"/>
        <v>4523.6159999999918</v>
      </c>
      <c r="M215" s="277">
        <f t="shared" si="19"/>
        <v>0</v>
      </c>
      <c r="N215" s="277">
        <f t="shared" si="20"/>
        <v>4523.6159999999918</v>
      </c>
    </row>
    <row r="216" spans="2:14">
      <c r="B216" s="281">
        <f t="shared" si="21"/>
        <v>19</v>
      </c>
      <c r="C216" s="281">
        <f t="shared" si="22"/>
        <v>3</v>
      </c>
      <c r="D216" s="558">
        <v>31</v>
      </c>
      <c r="E216" s="286"/>
      <c r="F216" s="286"/>
      <c r="G216" s="282">
        <f t="shared" si="23"/>
        <v>206832</v>
      </c>
      <c r="H216" s="283">
        <f>HLOOKUP($C216,'1'!$D$35:$O$38,3,FALSE)</f>
        <v>0.8</v>
      </c>
      <c r="I216" s="284">
        <f>HLOOKUP($C216,'1'!$D$35:$O$38,4,FALSE)</f>
        <v>0.98</v>
      </c>
      <c r="J216" s="282">
        <f>'1'!$E$42*D216*24</f>
        <v>206832</v>
      </c>
      <c r="K216" s="277">
        <f>(J216*'1'!$E$43)</f>
        <v>8273.2800000000007</v>
      </c>
      <c r="L216" s="277">
        <f t="shared" si="18"/>
        <v>3309.3120000000113</v>
      </c>
      <c r="M216" s="277">
        <f t="shared" si="19"/>
        <v>0</v>
      </c>
      <c r="N216" s="277">
        <f t="shared" si="20"/>
        <v>3309.3120000000113</v>
      </c>
    </row>
    <row r="217" spans="2:14">
      <c r="B217" s="281">
        <f t="shared" si="21"/>
        <v>19</v>
      </c>
      <c r="C217" s="281">
        <f t="shared" si="22"/>
        <v>4</v>
      </c>
      <c r="D217" s="558">
        <v>30</v>
      </c>
      <c r="E217" s="286"/>
      <c r="F217" s="286"/>
      <c r="G217" s="282">
        <f t="shared" si="23"/>
        <v>200160</v>
      </c>
      <c r="H217" s="283">
        <f>HLOOKUP($C217,'1'!$D$35:$O$38,3,FALSE)</f>
        <v>0.8</v>
      </c>
      <c r="I217" s="284">
        <f>HLOOKUP($C217,'1'!$D$35:$O$38,4,FALSE)</f>
        <v>0.98</v>
      </c>
      <c r="J217" s="282">
        <f>'1'!$E$42*D217*24</f>
        <v>200160</v>
      </c>
      <c r="K217" s="277">
        <f>(J217*'1'!$E$43)</f>
        <v>8006.4000000000005</v>
      </c>
      <c r="L217" s="277">
        <f t="shared" si="18"/>
        <v>3202.5600000000095</v>
      </c>
      <c r="M217" s="277">
        <f t="shared" si="19"/>
        <v>0</v>
      </c>
      <c r="N217" s="277">
        <f t="shared" si="20"/>
        <v>3202.5600000000095</v>
      </c>
    </row>
    <row r="218" spans="2:14">
      <c r="B218" s="281">
        <f t="shared" si="21"/>
        <v>19</v>
      </c>
      <c r="C218" s="281">
        <f t="shared" si="22"/>
        <v>5</v>
      </c>
      <c r="D218" s="558">
        <v>31</v>
      </c>
      <c r="E218" s="286"/>
      <c r="F218" s="286"/>
      <c r="G218" s="282">
        <f t="shared" si="23"/>
        <v>206832</v>
      </c>
      <c r="H218" s="283">
        <f>HLOOKUP($C218,'1'!$D$35:$O$38,3,FALSE)</f>
        <v>0.8</v>
      </c>
      <c r="I218" s="284">
        <f>HLOOKUP($C218,'1'!$D$35:$O$38,4,FALSE)</f>
        <v>0.98</v>
      </c>
      <c r="J218" s="282">
        <f>'1'!$E$42*D218*24</f>
        <v>206832</v>
      </c>
      <c r="K218" s="277">
        <f>(J218*'1'!$E$43)</f>
        <v>8273.2800000000007</v>
      </c>
      <c r="L218" s="277">
        <f t="shared" si="18"/>
        <v>3309.3120000000113</v>
      </c>
      <c r="M218" s="277">
        <f t="shared" si="19"/>
        <v>0</v>
      </c>
      <c r="N218" s="277">
        <f t="shared" si="20"/>
        <v>3309.3120000000113</v>
      </c>
    </row>
    <row r="219" spans="2:14">
      <c r="B219" s="281">
        <f t="shared" si="21"/>
        <v>19</v>
      </c>
      <c r="C219" s="281">
        <f t="shared" si="22"/>
        <v>6</v>
      </c>
      <c r="D219" s="558">
        <v>30</v>
      </c>
      <c r="E219" s="286"/>
      <c r="F219" s="286"/>
      <c r="G219" s="282">
        <f t="shared" si="23"/>
        <v>200160</v>
      </c>
      <c r="H219" s="283">
        <f>HLOOKUP($C219,'1'!$D$35:$O$38,3,FALSE)</f>
        <v>0.8</v>
      </c>
      <c r="I219" s="284">
        <f>HLOOKUP($C219,'1'!$D$35:$O$38,4,FALSE)</f>
        <v>0.98</v>
      </c>
      <c r="J219" s="282">
        <f>'1'!$E$42*D219*24</f>
        <v>200160</v>
      </c>
      <c r="K219" s="277">
        <f>(J219*'1'!$E$43)</f>
        <v>8006.4000000000005</v>
      </c>
      <c r="L219" s="277">
        <f t="shared" si="18"/>
        <v>3202.5600000000095</v>
      </c>
      <c r="M219" s="277">
        <f t="shared" si="19"/>
        <v>0</v>
      </c>
      <c r="N219" s="277">
        <f t="shared" si="20"/>
        <v>3202.5600000000095</v>
      </c>
    </row>
    <row r="220" spans="2:14">
      <c r="B220" s="281">
        <f t="shared" si="21"/>
        <v>19</v>
      </c>
      <c r="C220" s="281">
        <f t="shared" si="22"/>
        <v>7</v>
      </c>
      <c r="D220" s="558">
        <v>31</v>
      </c>
      <c r="E220" s="286"/>
      <c r="F220" s="286"/>
      <c r="G220" s="282">
        <f t="shared" si="23"/>
        <v>206832</v>
      </c>
      <c r="H220" s="283">
        <f>HLOOKUP($C220,'1'!$D$35:$O$38,3,FALSE)</f>
        <v>0.8</v>
      </c>
      <c r="I220" s="284">
        <f>HLOOKUP($C220,'1'!$D$35:$O$38,4,FALSE)</f>
        <v>0.98</v>
      </c>
      <c r="J220" s="282">
        <f>'1'!$E$42*D220*24</f>
        <v>206832</v>
      </c>
      <c r="K220" s="277">
        <f>(J220*'1'!$E$43)</f>
        <v>8273.2800000000007</v>
      </c>
      <c r="L220" s="277">
        <f t="shared" si="18"/>
        <v>3309.3120000000113</v>
      </c>
      <c r="M220" s="277">
        <f t="shared" si="19"/>
        <v>0</v>
      </c>
      <c r="N220" s="277">
        <f t="shared" si="20"/>
        <v>3309.3120000000113</v>
      </c>
    </row>
    <row r="221" spans="2:14">
      <c r="B221" s="281">
        <f t="shared" si="21"/>
        <v>19</v>
      </c>
      <c r="C221" s="281">
        <f t="shared" si="22"/>
        <v>8</v>
      </c>
      <c r="D221" s="558">
        <v>31</v>
      </c>
      <c r="E221" s="286"/>
      <c r="F221" s="286"/>
      <c r="G221" s="282">
        <f t="shared" si="23"/>
        <v>206832</v>
      </c>
      <c r="H221" s="283">
        <f>HLOOKUP($C221,'1'!$D$35:$O$38,3,FALSE)</f>
        <v>0.8</v>
      </c>
      <c r="I221" s="284">
        <f>HLOOKUP($C221,'1'!$D$35:$O$38,4,FALSE)</f>
        <v>0.98</v>
      </c>
      <c r="J221" s="282">
        <f>'1'!$E$42*D221*24</f>
        <v>206832</v>
      </c>
      <c r="K221" s="277">
        <f>(J221*'1'!$E$43)</f>
        <v>8273.2800000000007</v>
      </c>
      <c r="L221" s="277">
        <f t="shared" si="18"/>
        <v>3309.3120000000113</v>
      </c>
      <c r="M221" s="277">
        <f t="shared" si="19"/>
        <v>0</v>
      </c>
      <c r="N221" s="277">
        <f t="shared" si="20"/>
        <v>3309.3120000000113</v>
      </c>
    </row>
    <row r="222" spans="2:14">
      <c r="B222" s="281">
        <f t="shared" si="21"/>
        <v>19</v>
      </c>
      <c r="C222" s="281">
        <f t="shared" si="22"/>
        <v>9</v>
      </c>
      <c r="D222" s="558">
        <v>30</v>
      </c>
      <c r="E222" s="286"/>
      <c r="F222" s="286"/>
      <c r="G222" s="282">
        <f t="shared" si="23"/>
        <v>200160</v>
      </c>
      <c r="H222" s="283">
        <f>HLOOKUP($C222,'1'!$D$35:$O$38,3,FALSE)</f>
        <v>1.2</v>
      </c>
      <c r="I222" s="284">
        <f>HLOOKUP($C222,'1'!$D$35:$O$38,4,FALSE)</f>
        <v>0.98</v>
      </c>
      <c r="J222" s="282">
        <f>'1'!$E$42*D222*24</f>
        <v>200160</v>
      </c>
      <c r="K222" s="277">
        <f>(J222*'1'!$E$43)</f>
        <v>8006.4000000000005</v>
      </c>
      <c r="L222" s="277">
        <f t="shared" si="18"/>
        <v>4803.8400000000138</v>
      </c>
      <c r="M222" s="277">
        <f t="shared" si="19"/>
        <v>0</v>
      </c>
      <c r="N222" s="277">
        <f t="shared" si="20"/>
        <v>4803.8400000000138</v>
      </c>
    </row>
    <row r="223" spans="2:14">
      <c r="B223" s="281">
        <f t="shared" si="21"/>
        <v>19</v>
      </c>
      <c r="C223" s="281">
        <f t="shared" si="22"/>
        <v>10</v>
      </c>
      <c r="D223" s="558">
        <v>31</v>
      </c>
      <c r="E223" s="286"/>
      <c r="F223" s="286"/>
      <c r="G223" s="282">
        <f t="shared" si="23"/>
        <v>206832</v>
      </c>
      <c r="H223" s="283">
        <f>HLOOKUP($C223,'1'!$D$35:$O$38,3,FALSE)</f>
        <v>1.2</v>
      </c>
      <c r="I223" s="284">
        <f>HLOOKUP($C223,'1'!$D$35:$O$38,4,FALSE)</f>
        <v>0.98</v>
      </c>
      <c r="J223" s="282">
        <f>'1'!$E$42*D223*24</f>
        <v>206832</v>
      </c>
      <c r="K223" s="277">
        <f>(J223*'1'!$E$43)</f>
        <v>8273.2800000000007</v>
      </c>
      <c r="L223" s="277">
        <f t="shared" si="18"/>
        <v>4963.9680000000162</v>
      </c>
      <c r="M223" s="277">
        <f t="shared" si="19"/>
        <v>0</v>
      </c>
      <c r="N223" s="277">
        <f t="shared" si="20"/>
        <v>4963.9680000000162</v>
      </c>
    </row>
    <row r="224" spans="2:14">
      <c r="B224" s="281">
        <f t="shared" si="21"/>
        <v>19</v>
      </c>
      <c r="C224" s="281">
        <f t="shared" si="22"/>
        <v>11</v>
      </c>
      <c r="D224" s="558">
        <v>30</v>
      </c>
      <c r="E224" s="286"/>
      <c r="F224" s="286"/>
      <c r="G224" s="282">
        <f t="shared" si="23"/>
        <v>200160</v>
      </c>
      <c r="H224" s="283">
        <f>HLOOKUP($C224,'1'!$D$35:$O$38,3,FALSE)</f>
        <v>1.2</v>
      </c>
      <c r="I224" s="284">
        <f>HLOOKUP($C224,'1'!$D$35:$O$38,4,FALSE)</f>
        <v>0.98</v>
      </c>
      <c r="J224" s="282">
        <f>'1'!$E$42*D224*24</f>
        <v>200160</v>
      </c>
      <c r="K224" s="277">
        <f>(J224*'1'!$E$43)</f>
        <v>8006.4000000000005</v>
      </c>
      <c r="L224" s="277">
        <f t="shared" si="18"/>
        <v>4803.8400000000138</v>
      </c>
      <c r="M224" s="277">
        <f t="shared" si="19"/>
        <v>0</v>
      </c>
      <c r="N224" s="277">
        <f t="shared" si="20"/>
        <v>4803.8400000000138</v>
      </c>
    </row>
    <row r="225" spans="2:14">
      <c r="B225" s="281">
        <f t="shared" si="21"/>
        <v>19</v>
      </c>
      <c r="C225" s="281">
        <f t="shared" si="22"/>
        <v>12</v>
      </c>
      <c r="D225" s="558">
        <v>31</v>
      </c>
      <c r="E225" s="286"/>
      <c r="F225" s="286"/>
      <c r="G225" s="282">
        <f t="shared" si="23"/>
        <v>206832</v>
      </c>
      <c r="H225" s="283">
        <f>HLOOKUP($C225,'1'!$D$35:$O$38,3,FALSE)</f>
        <v>1.2</v>
      </c>
      <c r="I225" s="284">
        <f>HLOOKUP($C225,'1'!$D$35:$O$38,4,FALSE)</f>
        <v>0.98</v>
      </c>
      <c r="J225" s="282">
        <f>'1'!$E$42*D225*24</f>
        <v>206832</v>
      </c>
      <c r="K225" s="277">
        <f>(J225*'1'!$E$43)</f>
        <v>8273.2800000000007</v>
      </c>
      <c r="L225" s="277">
        <f t="shared" si="18"/>
        <v>4963.9680000000162</v>
      </c>
      <c r="M225" s="277">
        <f t="shared" si="19"/>
        <v>0</v>
      </c>
      <c r="N225" s="277">
        <f t="shared" si="20"/>
        <v>4963.9680000000162</v>
      </c>
    </row>
    <row r="226" spans="2:14">
      <c r="B226" s="281">
        <f t="shared" si="21"/>
        <v>20</v>
      </c>
      <c r="C226" s="281">
        <f t="shared" si="22"/>
        <v>1</v>
      </c>
      <c r="D226" s="558">
        <v>31</v>
      </c>
      <c r="E226" s="286"/>
      <c r="F226" s="286"/>
      <c r="G226" s="282">
        <f t="shared" si="23"/>
        <v>206832</v>
      </c>
      <c r="H226" s="283">
        <f>HLOOKUP($C226,'1'!$D$35:$O$38,3,FALSE)</f>
        <v>1.2</v>
      </c>
      <c r="I226" s="284">
        <f>HLOOKUP($C226,'1'!$D$35:$O$38,4,FALSE)</f>
        <v>0.98</v>
      </c>
      <c r="J226" s="282">
        <f>'1'!$E$42*D226*24</f>
        <v>206832</v>
      </c>
      <c r="K226" s="277">
        <f>(J226*'1'!$E$43)</f>
        <v>8273.2800000000007</v>
      </c>
      <c r="L226" s="277">
        <f t="shared" si="18"/>
        <v>4963.9680000000162</v>
      </c>
      <c r="M226" s="277">
        <f t="shared" si="19"/>
        <v>0</v>
      </c>
      <c r="N226" s="277">
        <f t="shared" si="20"/>
        <v>4963.9680000000162</v>
      </c>
    </row>
    <row r="227" spans="2:14">
      <c r="B227" s="281">
        <f t="shared" si="21"/>
        <v>20</v>
      </c>
      <c r="C227" s="281">
        <f t="shared" si="22"/>
        <v>2</v>
      </c>
      <c r="D227" s="558">
        <v>28.25</v>
      </c>
      <c r="E227" s="286"/>
      <c r="F227" s="286"/>
      <c r="G227" s="282">
        <f t="shared" si="23"/>
        <v>188484</v>
      </c>
      <c r="H227" s="283">
        <f>HLOOKUP($C227,'1'!$D$35:$O$38,3,FALSE)</f>
        <v>1.2</v>
      </c>
      <c r="I227" s="284">
        <f>HLOOKUP($C227,'1'!$D$35:$O$38,4,FALSE)</f>
        <v>0.98</v>
      </c>
      <c r="J227" s="282">
        <f>'1'!$E$42*D227*24</f>
        <v>188484</v>
      </c>
      <c r="K227" s="277">
        <f>(J227*'1'!$E$43)</f>
        <v>7539.3600000000006</v>
      </c>
      <c r="L227" s="277">
        <f t="shared" si="18"/>
        <v>4523.6159999999918</v>
      </c>
      <c r="M227" s="277">
        <f t="shared" si="19"/>
        <v>0</v>
      </c>
      <c r="N227" s="277">
        <f t="shared" si="20"/>
        <v>4523.6159999999918</v>
      </c>
    </row>
    <row r="228" spans="2:14">
      <c r="B228" s="281">
        <f t="shared" si="21"/>
        <v>20</v>
      </c>
      <c r="C228" s="281">
        <f t="shared" si="22"/>
        <v>3</v>
      </c>
      <c r="D228" s="558">
        <v>31</v>
      </c>
      <c r="E228" s="286"/>
      <c r="F228" s="286"/>
      <c r="G228" s="282">
        <f t="shared" si="23"/>
        <v>206832</v>
      </c>
      <c r="H228" s="283">
        <f>HLOOKUP($C228,'1'!$D$35:$O$38,3,FALSE)</f>
        <v>0.8</v>
      </c>
      <c r="I228" s="284">
        <f>HLOOKUP($C228,'1'!$D$35:$O$38,4,FALSE)</f>
        <v>0.98</v>
      </c>
      <c r="J228" s="282">
        <f>'1'!$E$42*D228*24</f>
        <v>206832</v>
      </c>
      <c r="K228" s="277">
        <f>(J228*'1'!$E$43)</f>
        <v>8273.2800000000007</v>
      </c>
      <c r="L228" s="277">
        <f t="shared" si="18"/>
        <v>3309.3120000000113</v>
      </c>
      <c r="M228" s="277">
        <f t="shared" si="19"/>
        <v>0</v>
      </c>
      <c r="N228" s="277">
        <f t="shared" si="20"/>
        <v>3309.3120000000113</v>
      </c>
    </row>
    <row r="229" spans="2:14">
      <c r="B229" s="281">
        <f t="shared" si="21"/>
        <v>20</v>
      </c>
      <c r="C229" s="281">
        <f t="shared" si="22"/>
        <v>4</v>
      </c>
      <c r="D229" s="558">
        <v>30</v>
      </c>
      <c r="E229" s="286"/>
      <c r="F229" s="286"/>
      <c r="G229" s="282">
        <f t="shared" si="23"/>
        <v>200160</v>
      </c>
      <c r="H229" s="283">
        <f>HLOOKUP($C229,'1'!$D$35:$O$38,3,FALSE)</f>
        <v>0.8</v>
      </c>
      <c r="I229" s="284">
        <f>HLOOKUP($C229,'1'!$D$35:$O$38,4,FALSE)</f>
        <v>0.98</v>
      </c>
      <c r="J229" s="282">
        <f>'1'!$E$42*D229*24</f>
        <v>200160</v>
      </c>
      <c r="K229" s="277">
        <f>(J229*'1'!$E$43)</f>
        <v>8006.4000000000005</v>
      </c>
      <c r="L229" s="277">
        <f t="shared" si="18"/>
        <v>3202.5600000000095</v>
      </c>
      <c r="M229" s="277">
        <f t="shared" si="19"/>
        <v>0</v>
      </c>
      <c r="N229" s="277">
        <f t="shared" si="20"/>
        <v>3202.5600000000095</v>
      </c>
    </row>
    <row r="230" spans="2:14">
      <c r="B230" s="281">
        <f t="shared" si="21"/>
        <v>20</v>
      </c>
      <c r="C230" s="281">
        <f t="shared" si="22"/>
        <v>5</v>
      </c>
      <c r="D230" s="558">
        <v>31</v>
      </c>
      <c r="E230" s="286"/>
      <c r="F230" s="286"/>
      <c r="G230" s="282">
        <f t="shared" si="23"/>
        <v>206832</v>
      </c>
      <c r="H230" s="283">
        <f>HLOOKUP($C230,'1'!$D$35:$O$38,3,FALSE)</f>
        <v>0.8</v>
      </c>
      <c r="I230" s="284">
        <f>HLOOKUP($C230,'1'!$D$35:$O$38,4,FALSE)</f>
        <v>0.98</v>
      </c>
      <c r="J230" s="282">
        <f>'1'!$E$42*D230*24</f>
        <v>206832</v>
      </c>
      <c r="K230" s="277">
        <f>(J230*'1'!$E$43)</f>
        <v>8273.2800000000007</v>
      </c>
      <c r="L230" s="277">
        <f t="shared" si="18"/>
        <v>3309.3120000000113</v>
      </c>
      <c r="M230" s="277">
        <f t="shared" si="19"/>
        <v>0</v>
      </c>
      <c r="N230" s="277">
        <f t="shared" si="20"/>
        <v>3309.3120000000113</v>
      </c>
    </row>
    <row r="231" spans="2:14">
      <c r="B231" s="281">
        <f t="shared" si="21"/>
        <v>20</v>
      </c>
      <c r="C231" s="281">
        <f t="shared" si="22"/>
        <v>6</v>
      </c>
      <c r="D231" s="558">
        <v>30</v>
      </c>
      <c r="E231" s="286"/>
      <c r="F231" s="286"/>
      <c r="G231" s="282">
        <f t="shared" si="23"/>
        <v>200160</v>
      </c>
      <c r="H231" s="283">
        <f>HLOOKUP($C231,'1'!$D$35:$O$38,3,FALSE)</f>
        <v>0.8</v>
      </c>
      <c r="I231" s="284">
        <f>HLOOKUP($C231,'1'!$D$35:$O$38,4,FALSE)</f>
        <v>0.98</v>
      </c>
      <c r="J231" s="282">
        <f>'1'!$E$42*D231*24</f>
        <v>200160</v>
      </c>
      <c r="K231" s="277">
        <f>(J231*'1'!$E$43)</f>
        <v>8006.4000000000005</v>
      </c>
      <c r="L231" s="277">
        <f t="shared" si="18"/>
        <v>3202.5600000000095</v>
      </c>
      <c r="M231" s="277">
        <f t="shared" si="19"/>
        <v>0</v>
      </c>
      <c r="N231" s="277">
        <f t="shared" si="20"/>
        <v>3202.5600000000095</v>
      </c>
    </row>
    <row r="232" spans="2:14">
      <c r="B232" s="281">
        <f t="shared" si="21"/>
        <v>20</v>
      </c>
      <c r="C232" s="281">
        <f t="shared" si="22"/>
        <v>7</v>
      </c>
      <c r="D232" s="558">
        <v>31</v>
      </c>
      <c r="E232" s="286"/>
      <c r="F232" s="286"/>
      <c r="G232" s="282">
        <f t="shared" si="23"/>
        <v>206832</v>
      </c>
      <c r="H232" s="283">
        <f>HLOOKUP($C232,'1'!$D$35:$O$38,3,FALSE)</f>
        <v>0.8</v>
      </c>
      <c r="I232" s="284">
        <f>HLOOKUP($C232,'1'!$D$35:$O$38,4,FALSE)</f>
        <v>0.98</v>
      </c>
      <c r="J232" s="282">
        <f>'1'!$E$42*D232*24</f>
        <v>206832</v>
      </c>
      <c r="K232" s="277">
        <f>(J232*'1'!$E$43)</f>
        <v>8273.2800000000007</v>
      </c>
      <c r="L232" s="277">
        <f t="shared" si="18"/>
        <v>3309.3120000000113</v>
      </c>
      <c r="M232" s="277">
        <f t="shared" si="19"/>
        <v>0</v>
      </c>
      <c r="N232" s="277">
        <f t="shared" si="20"/>
        <v>3309.3120000000113</v>
      </c>
    </row>
    <row r="233" spans="2:14">
      <c r="B233" s="281">
        <f t="shared" si="21"/>
        <v>20</v>
      </c>
      <c r="C233" s="281">
        <f t="shared" si="22"/>
        <v>8</v>
      </c>
      <c r="D233" s="558">
        <v>31</v>
      </c>
      <c r="E233" s="286"/>
      <c r="F233" s="286"/>
      <c r="G233" s="282">
        <f t="shared" si="23"/>
        <v>206832</v>
      </c>
      <c r="H233" s="283">
        <f>HLOOKUP($C233,'1'!$D$35:$O$38,3,FALSE)</f>
        <v>0.8</v>
      </c>
      <c r="I233" s="284">
        <f>HLOOKUP($C233,'1'!$D$35:$O$38,4,FALSE)</f>
        <v>0.98</v>
      </c>
      <c r="J233" s="282">
        <f>'1'!$E$42*D233*24</f>
        <v>206832</v>
      </c>
      <c r="K233" s="277">
        <f>(J233*'1'!$E$43)</f>
        <v>8273.2800000000007</v>
      </c>
      <c r="L233" s="277">
        <f t="shared" si="18"/>
        <v>3309.3120000000113</v>
      </c>
      <c r="M233" s="277">
        <f t="shared" si="19"/>
        <v>0</v>
      </c>
      <c r="N233" s="277">
        <f t="shared" si="20"/>
        <v>3309.3120000000113</v>
      </c>
    </row>
    <row r="234" spans="2:14">
      <c r="B234" s="281">
        <f t="shared" si="21"/>
        <v>20</v>
      </c>
      <c r="C234" s="281">
        <f t="shared" si="22"/>
        <v>9</v>
      </c>
      <c r="D234" s="558">
        <v>30</v>
      </c>
      <c r="E234" s="286"/>
      <c r="F234" s="286"/>
      <c r="G234" s="282">
        <f t="shared" si="23"/>
        <v>200160</v>
      </c>
      <c r="H234" s="283">
        <f>HLOOKUP($C234,'1'!$D$35:$O$38,3,FALSE)</f>
        <v>1.2</v>
      </c>
      <c r="I234" s="284">
        <f>HLOOKUP($C234,'1'!$D$35:$O$38,4,FALSE)</f>
        <v>0.98</v>
      </c>
      <c r="J234" s="282">
        <f>'1'!$E$42*D234*24</f>
        <v>200160</v>
      </c>
      <c r="K234" s="277">
        <f>(J234*'1'!$E$43)</f>
        <v>8006.4000000000005</v>
      </c>
      <c r="L234" s="277">
        <f t="shared" si="18"/>
        <v>4803.8400000000138</v>
      </c>
      <c r="M234" s="277">
        <f t="shared" si="19"/>
        <v>0</v>
      </c>
      <c r="N234" s="277">
        <f t="shared" si="20"/>
        <v>4803.8400000000138</v>
      </c>
    </row>
    <row r="235" spans="2:14">
      <c r="B235" s="281">
        <f t="shared" si="21"/>
        <v>20</v>
      </c>
      <c r="C235" s="281">
        <f t="shared" si="22"/>
        <v>10</v>
      </c>
      <c r="D235" s="558">
        <v>31</v>
      </c>
      <c r="E235" s="286"/>
      <c r="F235" s="286"/>
      <c r="G235" s="282">
        <f t="shared" si="23"/>
        <v>206832</v>
      </c>
      <c r="H235" s="283">
        <f>HLOOKUP($C235,'1'!$D$35:$O$38,3,FALSE)</f>
        <v>1.2</v>
      </c>
      <c r="I235" s="284">
        <f>HLOOKUP($C235,'1'!$D$35:$O$38,4,FALSE)</f>
        <v>0.98</v>
      </c>
      <c r="J235" s="282">
        <f>'1'!$E$42*D235*24</f>
        <v>206832</v>
      </c>
      <c r="K235" s="277">
        <f>(J235*'1'!$E$43)</f>
        <v>8273.2800000000007</v>
      </c>
      <c r="L235" s="277">
        <f t="shared" si="18"/>
        <v>4963.9680000000162</v>
      </c>
      <c r="M235" s="277">
        <f t="shared" si="19"/>
        <v>0</v>
      </c>
      <c r="N235" s="277">
        <f t="shared" si="20"/>
        <v>4963.9680000000162</v>
      </c>
    </row>
    <row r="236" spans="2:14">
      <c r="B236" s="281">
        <f t="shared" si="21"/>
        <v>20</v>
      </c>
      <c r="C236" s="281">
        <f t="shared" si="22"/>
        <v>11</v>
      </c>
      <c r="D236" s="558">
        <v>30</v>
      </c>
      <c r="E236" s="286"/>
      <c r="F236" s="286"/>
      <c r="G236" s="282">
        <f t="shared" si="23"/>
        <v>200160</v>
      </c>
      <c r="H236" s="283">
        <f>HLOOKUP($C236,'1'!$D$35:$O$38,3,FALSE)</f>
        <v>1.2</v>
      </c>
      <c r="I236" s="284">
        <f>HLOOKUP($C236,'1'!$D$35:$O$38,4,FALSE)</f>
        <v>0.98</v>
      </c>
      <c r="J236" s="282">
        <f>'1'!$E$42*D236*24</f>
        <v>200160</v>
      </c>
      <c r="K236" s="277">
        <f>(J236*'1'!$E$43)</f>
        <v>8006.4000000000005</v>
      </c>
      <c r="L236" s="277">
        <f t="shared" si="18"/>
        <v>4803.8400000000138</v>
      </c>
      <c r="M236" s="277">
        <f t="shared" si="19"/>
        <v>0</v>
      </c>
      <c r="N236" s="277">
        <f t="shared" si="20"/>
        <v>4803.8400000000138</v>
      </c>
    </row>
    <row r="237" spans="2:14">
      <c r="B237" s="281">
        <f t="shared" si="21"/>
        <v>20</v>
      </c>
      <c r="C237" s="281">
        <f t="shared" si="22"/>
        <v>12</v>
      </c>
      <c r="D237" s="558">
        <v>31</v>
      </c>
      <c r="E237" s="286"/>
      <c r="F237" s="286"/>
      <c r="G237" s="282">
        <f t="shared" si="23"/>
        <v>206832</v>
      </c>
      <c r="H237" s="283">
        <f>HLOOKUP($C237,'1'!$D$35:$O$38,3,FALSE)</f>
        <v>1.2</v>
      </c>
      <c r="I237" s="284">
        <f>HLOOKUP($C237,'1'!$D$35:$O$38,4,FALSE)</f>
        <v>0.98</v>
      </c>
      <c r="J237" s="282">
        <f>'1'!$E$42*D237*24</f>
        <v>206832</v>
      </c>
      <c r="K237" s="277">
        <f>(J237*'1'!$E$43)</f>
        <v>8273.2800000000007</v>
      </c>
      <c r="L237" s="277">
        <f t="shared" si="18"/>
        <v>4963.9680000000162</v>
      </c>
      <c r="M237" s="277">
        <f t="shared" si="19"/>
        <v>0</v>
      </c>
      <c r="N237" s="277">
        <f t="shared" si="20"/>
        <v>4963.9680000000162</v>
      </c>
    </row>
    <row r="238" spans="2:14">
      <c r="B238" s="281">
        <f t="shared" si="21"/>
        <v>21</v>
      </c>
      <c r="C238" s="281">
        <f t="shared" si="22"/>
        <v>1</v>
      </c>
      <c r="D238" s="558">
        <v>31</v>
      </c>
      <c r="E238" s="286"/>
      <c r="F238" s="286"/>
      <c r="G238" s="282">
        <f t="shared" si="23"/>
        <v>206832</v>
      </c>
      <c r="H238" s="283">
        <f>HLOOKUP($C238,'1'!$D$35:$O$38,3,FALSE)</f>
        <v>1.2</v>
      </c>
      <c r="I238" s="284">
        <f>HLOOKUP($C238,'1'!$D$35:$O$38,4,FALSE)</f>
        <v>0.98</v>
      </c>
      <c r="J238" s="282">
        <f>'1'!$E$42*D238*24</f>
        <v>206832</v>
      </c>
      <c r="K238" s="277">
        <f>(J238*'1'!$E$43)</f>
        <v>8273.2800000000007</v>
      </c>
      <c r="L238" s="277">
        <f t="shared" si="18"/>
        <v>4963.9680000000162</v>
      </c>
      <c r="M238" s="277">
        <f t="shared" si="19"/>
        <v>0</v>
      </c>
      <c r="N238" s="277">
        <f t="shared" si="20"/>
        <v>4963.9680000000162</v>
      </c>
    </row>
    <row r="239" spans="2:14">
      <c r="B239" s="281">
        <f t="shared" si="21"/>
        <v>21</v>
      </c>
      <c r="C239" s="281">
        <f t="shared" si="22"/>
        <v>2</v>
      </c>
      <c r="D239" s="558">
        <v>28.25</v>
      </c>
      <c r="E239" s="286"/>
      <c r="F239" s="286"/>
      <c r="G239" s="282">
        <f t="shared" si="23"/>
        <v>188484</v>
      </c>
      <c r="H239" s="283">
        <f>HLOOKUP($C239,'1'!$D$35:$O$38,3,FALSE)</f>
        <v>1.2</v>
      </c>
      <c r="I239" s="284">
        <f>HLOOKUP($C239,'1'!$D$35:$O$38,4,FALSE)</f>
        <v>0.98</v>
      </c>
      <c r="J239" s="282">
        <f>'1'!$E$42*D239*24</f>
        <v>188484</v>
      </c>
      <c r="K239" s="277">
        <f>(J239*'1'!$E$43)</f>
        <v>7539.3600000000006</v>
      </c>
      <c r="L239" s="277">
        <f t="shared" si="18"/>
        <v>4523.6159999999918</v>
      </c>
      <c r="M239" s="277">
        <f t="shared" si="19"/>
        <v>0</v>
      </c>
      <c r="N239" s="277">
        <f t="shared" si="20"/>
        <v>4523.6159999999918</v>
      </c>
    </row>
    <row r="240" spans="2:14">
      <c r="B240" s="281">
        <f t="shared" si="21"/>
        <v>21</v>
      </c>
      <c r="C240" s="281">
        <f t="shared" si="22"/>
        <v>3</v>
      </c>
      <c r="D240" s="558">
        <v>31</v>
      </c>
      <c r="E240" s="286"/>
      <c r="F240" s="286"/>
      <c r="G240" s="282">
        <f t="shared" si="23"/>
        <v>206832</v>
      </c>
      <c r="H240" s="283">
        <f>HLOOKUP($C240,'1'!$D$35:$O$38,3,FALSE)</f>
        <v>0.8</v>
      </c>
      <c r="I240" s="284">
        <f>HLOOKUP($C240,'1'!$D$35:$O$38,4,FALSE)</f>
        <v>0.98</v>
      </c>
      <c r="J240" s="282">
        <f>'1'!$E$42*D240*24</f>
        <v>206832</v>
      </c>
      <c r="K240" s="277">
        <f>(J240*'1'!$E$43)</f>
        <v>8273.2800000000007</v>
      </c>
      <c r="L240" s="277">
        <f t="shared" si="18"/>
        <v>3309.3120000000113</v>
      </c>
      <c r="M240" s="277">
        <f t="shared" si="19"/>
        <v>0</v>
      </c>
      <c r="N240" s="277">
        <f t="shared" si="20"/>
        <v>3309.3120000000113</v>
      </c>
    </row>
    <row r="241" spans="2:14">
      <c r="B241" s="281">
        <f t="shared" si="21"/>
        <v>21</v>
      </c>
      <c r="C241" s="281">
        <f t="shared" si="22"/>
        <v>4</v>
      </c>
      <c r="D241" s="558">
        <v>30</v>
      </c>
      <c r="E241" s="286"/>
      <c r="F241" s="286"/>
      <c r="G241" s="282">
        <f t="shared" si="23"/>
        <v>200160</v>
      </c>
      <c r="H241" s="283">
        <f>HLOOKUP($C241,'1'!$D$35:$O$38,3,FALSE)</f>
        <v>0.8</v>
      </c>
      <c r="I241" s="284">
        <f>HLOOKUP($C241,'1'!$D$35:$O$38,4,FALSE)</f>
        <v>0.98</v>
      </c>
      <c r="J241" s="282">
        <f>'1'!$E$42*D241*24</f>
        <v>200160</v>
      </c>
      <c r="K241" s="277">
        <f>(J241*'1'!$E$43)</f>
        <v>8006.4000000000005</v>
      </c>
      <c r="L241" s="277">
        <f t="shared" si="18"/>
        <v>3202.5600000000095</v>
      </c>
      <c r="M241" s="277">
        <f t="shared" si="19"/>
        <v>0</v>
      </c>
      <c r="N241" s="277">
        <f t="shared" si="20"/>
        <v>3202.5600000000095</v>
      </c>
    </row>
    <row r="242" spans="2:14">
      <c r="B242" s="281">
        <f t="shared" si="21"/>
        <v>21</v>
      </c>
      <c r="C242" s="281">
        <f t="shared" si="22"/>
        <v>5</v>
      </c>
      <c r="D242" s="558">
        <v>31</v>
      </c>
      <c r="E242" s="286"/>
      <c r="F242" s="286"/>
      <c r="G242" s="282">
        <f t="shared" si="23"/>
        <v>206832</v>
      </c>
      <c r="H242" s="283">
        <f>HLOOKUP($C242,'1'!$D$35:$O$38,3,FALSE)</f>
        <v>0.8</v>
      </c>
      <c r="I242" s="284">
        <f>HLOOKUP($C242,'1'!$D$35:$O$38,4,FALSE)</f>
        <v>0.98</v>
      </c>
      <c r="J242" s="282">
        <f>'1'!$E$42*D242*24</f>
        <v>206832</v>
      </c>
      <c r="K242" s="277">
        <f>(J242*'1'!$E$43)</f>
        <v>8273.2800000000007</v>
      </c>
      <c r="L242" s="277">
        <f t="shared" si="18"/>
        <v>3309.3120000000113</v>
      </c>
      <c r="M242" s="277">
        <f t="shared" si="19"/>
        <v>0</v>
      </c>
      <c r="N242" s="277">
        <f t="shared" si="20"/>
        <v>3309.3120000000113</v>
      </c>
    </row>
    <row r="243" spans="2:14">
      <c r="B243" s="281">
        <f t="shared" si="21"/>
        <v>21</v>
      </c>
      <c r="C243" s="281">
        <f t="shared" si="22"/>
        <v>6</v>
      </c>
      <c r="D243" s="558">
        <v>30</v>
      </c>
      <c r="E243" s="286"/>
      <c r="F243" s="286"/>
      <c r="G243" s="282">
        <f t="shared" si="23"/>
        <v>200160</v>
      </c>
      <c r="H243" s="283">
        <f>HLOOKUP($C243,'1'!$D$35:$O$38,3,FALSE)</f>
        <v>0.8</v>
      </c>
      <c r="I243" s="284">
        <f>HLOOKUP($C243,'1'!$D$35:$O$38,4,FALSE)</f>
        <v>0.98</v>
      </c>
      <c r="J243" s="282">
        <f>'1'!$E$42*D243*24</f>
        <v>200160</v>
      </c>
      <c r="K243" s="277">
        <f>(J243*'1'!$E$43)</f>
        <v>8006.4000000000005</v>
      </c>
      <c r="L243" s="277">
        <f t="shared" si="18"/>
        <v>3202.5600000000095</v>
      </c>
      <c r="M243" s="277">
        <f t="shared" si="19"/>
        <v>0</v>
      </c>
      <c r="N243" s="277">
        <f t="shared" si="20"/>
        <v>3202.5600000000095</v>
      </c>
    </row>
    <row r="244" spans="2:14">
      <c r="B244" s="281">
        <f t="shared" si="21"/>
        <v>21</v>
      </c>
      <c r="C244" s="281">
        <f t="shared" si="22"/>
        <v>7</v>
      </c>
      <c r="D244" s="558">
        <v>31</v>
      </c>
      <c r="E244" s="286"/>
      <c r="F244" s="286"/>
      <c r="G244" s="282">
        <f t="shared" si="23"/>
        <v>206832</v>
      </c>
      <c r="H244" s="283">
        <f>HLOOKUP($C244,'1'!$D$35:$O$38,3,FALSE)</f>
        <v>0.8</v>
      </c>
      <c r="I244" s="284">
        <f>HLOOKUP($C244,'1'!$D$35:$O$38,4,FALSE)</f>
        <v>0.98</v>
      </c>
      <c r="J244" s="282">
        <f>'1'!$E$42*D244*24</f>
        <v>206832</v>
      </c>
      <c r="K244" s="277">
        <f>(J244*'1'!$E$43)</f>
        <v>8273.2800000000007</v>
      </c>
      <c r="L244" s="277">
        <f t="shared" si="18"/>
        <v>3309.3120000000113</v>
      </c>
      <c r="M244" s="277">
        <f t="shared" si="19"/>
        <v>0</v>
      </c>
      <c r="N244" s="277">
        <f t="shared" si="20"/>
        <v>3309.3120000000113</v>
      </c>
    </row>
    <row r="245" spans="2:14">
      <c r="B245" s="281">
        <f t="shared" si="21"/>
        <v>21</v>
      </c>
      <c r="C245" s="281">
        <f t="shared" si="22"/>
        <v>8</v>
      </c>
      <c r="D245" s="558">
        <v>31</v>
      </c>
      <c r="E245" s="286"/>
      <c r="F245" s="286"/>
      <c r="G245" s="282">
        <f t="shared" si="23"/>
        <v>206832</v>
      </c>
      <c r="H245" s="283">
        <f>HLOOKUP($C245,'1'!$D$35:$O$38,3,FALSE)</f>
        <v>0.8</v>
      </c>
      <c r="I245" s="284">
        <f>HLOOKUP($C245,'1'!$D$35:$O$38,4,FALSE)</f>
        <v>0.98</v>
      </c>
      <c r="J245" s="282">
        <f>'1'!$E$42*D245*24</f>
        <v>206832</v>
      </c>
      <c r="K245" s="277">
        <f>(J245*'1'!$E$43)</f>
        <v>8273.2800000000007</v>
      </c>
      <c r="L245" s="277">
        <f t="shared" si="18"/>
        <v>3309.3120000000113</v>
      </c>
      <c r="M245" s="277">
        <f t="shared" si="19"/>
        <v>0</v>
      </c>
      <c r="N245" s="277">
        <f t="shared" si="20"/>
        <v>3309.3120000000113</v>
      </c>
    </row>
    <row r="246" spans="2:14">
      <c r="B246" s="281">
        <f t="shared" si="21"/>
        <v>21</v>
      </c>
      <c r="C246" s="281">
        <f t="shared" si="22"/>
        <v>9</v>
      </c>
      <c r="D246" s="558">
        <v>30</v>
      </c>
      <c r="E246" s="286"/>
      <c r="F246" s="286"/>
      <c r="G246" s="282">
        <f t="shared" si="23"/>
        <v>200160</v>
      </c>
      <c r="H246" s="283">
        <f>HLOOKUP($C246,'1'!$D$35:$O$38,3,FALSE)</f>
        <v>1.2</v>
      </c>
      <c r="I246" s="284">
        <f>HLOOKUP($C246,'1'!$D$35:$O$38,4,FALSE)</f>
        <v>0.98</v>
      </c>
      <c r="J246" s="282">
        <f>'1'!$E$42*D246*24</f>
        <v>200160</v>
      </c>
      <c r="K246" s="277">
        <f>(J246*'1'!$E$43)</f>
        <v>8006.4000000000005</v>
      </c>
      <c r="L246" s="277">
        <f t="shared" si="18"/>
        <v>4803.8400000000138</v>
      </c>
      <c r="M246" s="277">
        <f t="shared" si="19"/>
        <v>0</v>
      </c>
      <c r="N246" s="277">
        <f t="shared" si="20"/>
        <v>4803.8400000000138</v>
      </c>
    </row>
    <row r="247" spans="2:14">
      <c r="B247" s="281">
        <f t="shared" si="21"/>
        <v>21</v>
      </c>
      <c r="C247" s="281">
        <f t="shared" si="22"/>
        <v>10</v>
      </c>
      <c r="D247" s="558">
        <v>31</v>
      </c>
      <c r="E247" s="286"/>
      <c r="F247" s="286"/>
      <c r="G247" s="282">
        <f t="shared" si="23"/>
        <v>206832</v>
      </c>
      <c r="H247" s="283">
        <f>HLOOKUP($C247,'1'!$D$35:$O$38,3,FALSE)</f>
        <v>1.2</v>
      </c>
      <c r="I247" s="284">
        <f>HLOOKUP($C247,'1'!$D$35:$O$38,4,FALSE)</f>
        <v>0.98</v>
      </c>
      <c r="J247" s="282">
        <f>'1'!$E$42*D247*24</f>
        <v>206832</v>
      </c>
      <c r="K247" s="277">
        <f>(J247*'1'!$E$43)</f>
        <v>8273.2800000000007</v>
      </c>
      <c r="L247" s="277">
        <f t="shared" si="18"/>
        <v>4963.9680000000162</v>
      </c>
      <c r="M247" s="277">
        <f t="shared" si="19"/>
        <v>0</v>
      </c>
      <c r="N247" s="277">
        <f t="shared" si="20"/>
        <v>4963.9680000000162</v>
      </c>
    </row>
    <row r="248" spans="2:14">
      <c r="B248" s="281">
        <f t="shared" si="21"/>
        <v>21</v>
      </c>
      <c r="C248" s="281">
        <f t="shared" si="22"/>
        <v>11</v>
      </c>
      <c r="D248" s="558">
        <v>30</v>
      </c>
      <c r="E248" s="286"/>
      <c r="F248" s="286"/>
      <c r="G248" s="282">
        <f t="shared" si="23"/>
        <v>200160</v>
      </c>
      <c r="H248" s="283">
        <f>HLOOKUP($C248,'1'!$D$35:$O$38,3,FALSE)</f>
        <v>1.2</v>
      </c>
      <c r="I248" s="284">
        <f>HLOOKUP($C248,'1'!$D$35:$O$38,4,FALSE)</f>
        <v>0.98</v>
      </c>
      <c r="J248" s="282">
        <f>'1'!$E$42*D248*24</f>
        <v>200160</v>
      </c>
      <c r="K248" s="277">
        <f>(J248*'1'!$E$43)</f>
        <v>8006.4000000000005</v>
      </c>
      <c r="L248" s="277">
        <f t="shared" si="18"/>
        <v>4803.8400000000138</v>
      </c>
      <c r="M248" s="277">
        <f t="shared" si="19"/>
        <v>0</v>
      </c>
      <c r="N248" s="277">
        <f t="shared" si="20"/>
        <v>4803.8400000000138</v>
      </c>
    </row>
    <row r="249" spans="2:14">
      <c r="B249" s="281">
        <f t="shared" si="21"/>
        <v>21</v>
      </c>
      <c r="C249" s="281">
        <f t="shared" si="22"/>
        <v>12</v>
      </c>
      <c r="D249" s="558">
        <v>31</v>
      </c>
      <c r="E249" s="286"/>
      <c r="F249" s="286"/>
      <c r="G249" s="282">
        <f t="shared" si="23"/>
        <v>206832</v>
      </c>
      <c r="H249" s="283">
        <f>HLOOKUP($C249,'1'!$D$35:$O$38,3,FALSE)</f>
        <v>1.2</v>
      </c>
      <c r="I249" s="284">
        <f>HLOOKUP($C249,'1'!$D$35:$O$38,4,FALSE)</f>
        <v>0.98</v>
      </c>
      <c r="J249" s="282">
        <f>'1'!$E$42*D249*24</f>
        <v>206832</v>
      </c>
      <c r="K249" s="277">
        <f>(J249*'1'!$E$43)</f>
        <v>8273.2800000000007</v>
      </c>
      <c r="L249" s="277">
        <f t="shared" si="18"/>
        <v>4963.9680000000162</v>
      </c>
      <c r="M249" s="277">
        <f t="shared" si="19"/>
        <v>0</v>
      </c>
      <c r="N249" s="277">
        <f t="shared" si="20"/>
        <v>4963.9680000000162</v>
      </c>
    </row>
    <row r="250" spans="2:14">
      <c r="B250" s="281">
        <f t="shared" ref="B250:B261" si="24">IF(C250=1,B249+1,B249)</f>
        <v>22</v>
      </c>
      <c r="C250" s="281">
        <f t="shared" si="22"/>
        <v>1</v>
      </c>
      <c r="D250" s="558">
        <v>31</v>
      </c>
      <c r="E250" s="286"/>
      <c r="F250" s="286"/>
      <c r="G250" s="282">
        <f t="shared" ref="G250:G261" si="25">J250-(E250+F250)</f>
        <v>206832</v>
      </c>
      <c r="H250" s="283">
        <f>HLOOKUP($C250,'1'!$D$35:$O$38,3,FALSE)</f>
        <v>1.2</v>
      </c>
      <c r="I250" s="284">
        <f>HLOOKUP($C250,'1'!$D$35:$O$38,4,FALSE)</f>
        <v>0.98</v>
      </c>
      <c r="J250" s="282">
        <f>'1'!$E$42*D250*24</f>
        <v>206832</v>
      </c>
      <c r="K250" s="277">
        <f>(J250*'1'!$E$43)</f>
        <v>8273.2800000000007</v>
      </c>
      <c r="L250" s="277">
        <f t="shared" ref="L250:L261" si="26">(G250-(J250*I250))*H250</f>
        <v>4963.9680000000162</v>
      </c>
      <c r="M250" s="277">
        <f t="shared" ref="M250:M261" si="27">IF(L250&lt;0,L250,0)</f>
        <v>0</v>
      </c>
      <c r="N250" s="277">
        <f t="shared" ref="N250:N261" si="28">IF(L250&gt;0,L250,0)</f>
        <v>4963.9680000000162</v>
      </c>
    </row>
    <row r="251" spans="2:14">
      <c r="B251" s="281">
        <f t="shared" si="24"/>
        <v>22</v>
      </c>
      <c r="C251" s="281">
        <f t="shared" si="22"/>
        <v>2</v>
      </c>
      <c r="D251" s="558">
        <v>28.25</v>
      </c>
      <c r="E251" s="286"/>
      <c r="F251" s="286"/>
      <c r="G251" s="282">
        <f t="shared" si="25"/>
        <v>188484</v>
      </c>
      <c r="H251" s="283">
        <f>HLOOKUP($C251,'1'!$D$35:$O$38,3,FALSE)</f>
        <v>1.2</v>
      </c>
      <c r="I251" s="284">
        <f>HLOOKUP($C251,'1'!$D$35:$O$38,4,FALSE)</f>
        <v>0.98</v>
      </c>
      <c r="J251" s="282">
        <f>'1'!$E$42*D251*24</f>
        <v>188484</v>
      </c>
      <c r="K251" s="277">
        <f>(J251*'1'!$E$43)</f>
        <v>7539.3600000000006</v>
      </c>
      <c r="L251" s="277">
        <f t="shared" si="26"/>
        <v>4523.6159999999918</v>
      </c>
      <c r="M251" s="277">
        <f t="shared" si="27"/>
        <v>0</v>
      </c>
      <c r="N251" s="277">
        <f t="shared" si="28"/>
        <v>4523.6159999999918</v>
      </c>
    </row>
    <row r="252" spans="2:14">
      <c r="B252" s="281">
        <f t="shared" si="24"/>
        <v>22</v>
      </c>
      <c r="C252" s="281">
        <f t="shared" si="22"/>
        <v>3</v>
      </c>
      <c r="D252" s="558">
        <v>31</v>
      </c>
      <c r="E252" s="286"/>
      <c r="F252" s="286"/>
      <c r="G252" s="282">
        <f t="shared" si="25"/>
        <v>206832</v>
      </c>
      <c r="H252" s="283">
        <f>HLOOKUP($C252,'1'!$D$35:$O$38,3,FALSE)</f>
        <v>0.8</v>
      </c>
      <c r="I252" s="284">
        <f>HLOOKUP($C252,'1'!$D$35:$O$38,4,FALSE)</f>
        <v>0.98</v>
      </c>
      <c r="J252" s="282">
        <f>'1'!$E$42*D252*24</f>
        <v>206832</v>
      </c>
      <c r="K252" s="277">
        <f>(J252*'1'!$E$43)</f>
        <v>8273.2800000000007</v>
      </c>
      <c r="L252" s="277">
        <f t="shared" si="26"/>
        <v>3309.3120000000113</v>
      </c>
      <c r="M252" s="277">
        <f t="shared" si="27"/>
        <v>0</v>
      </c>
      <c r="N252" s="277">
        <f t="shared" si="28"/>
        <v>3309.3120000000113</v>
      </c>
    </row>
    <row r="253" spans="2:14">
      <c r="B253" s="281">
        <f t="shared" si="24"/>
        <v>22</v>
      </c>
      <c r="C253" s="281">
        <f t="shared" si="22"/>
        <v>4</v>
      </c>
      <c r="D253" s="558">
        <v>30</v>
      </c>
      <c r="E253" s="286"/>
      <c r="F253" s="286"/>
      <c r="G253" s="282">
        <f t="shared" si="25"/>
        <v>200160</v>
      </c>
      <c r="H253" s="283">
        <f>HLOOKUP($C253,'1'!$D$35:$O$38,3,FALSE)</f>
        <v>0.8</v>
      </c>
      <c r="I253" s="284">
        <f>HLOOKUP($C253,'1'!$D$35:$O$38,4,FALSE)</f>
        <v>0.98</v>
      </c>
      <c r="J253" s="282">
        <f>'1'!$E$42*D253*24</f>
        <v>200160</v>
      </c>
      <c r="K253" s="277">
        <f>(J253*'1'!$E$43)</f>
        <v>8006.4000000000005</v>
      </c>
      <c r="L253" s="277">
        <f t="shared" si="26"/>
        <v>3202.5600000000095</v>
      </c>
      <c r="M253" s="277">
        <f t="shared" si="27"/>
        <v>0</v>
      </c>
      <c r="N253" s="277">
        <f t="shared" si="28"/>
        <v>3202.5600000000095</v>
      </c>
    </row>
    <row r="254" spans="2:14">
      <c r="B254" s="281">
        <f t="shared" si="24"/>
        <v>22</v>
      </c>
      <c r="C254" s="281">
        <f t="shared" si="22"/>
        <v>5</v>
      </c>
      <c r="D254" s="558">
        <v>31</v>
      </c>
      <c r="E254" s="286"/>
      <c r="F254" s="286"/>
      <c r="G254" s="282">
        <f t="shared" si="25"/>
        <v>206832</v>
      </c>
      <c r="H254" s="283">
        <f>HLOOKUP($C254,'1'!$D$35:$O$38,3,FALSE)</f>
        <v>0.8</v>
      </c>
      <c r="I254" s="284">
        <f>HLOOKUP($C254,'1'!$D$35:$O$38,4,FALSE)</f>
        <v>0.98</v>
      </c>
      <c r="J254" s="282">
        <f>'1'!$E$42*D254*24</f>
        <v>206832</v>
      </c>
      <c r="K254" s="277">
        <f>(J254*'1'!$E$43)</f>
        <v>8273.2800000000007</v>
      </c>
      <c r="L254" s="277">
        <f t="shared" si="26"/>
        <v>3309.3120000000113</v>
      </c>
      <c r="M254" s="277">
        <f t="shared" si="27"/>
        <v>0</v>
      </c>
      <c r="N254" s="277">
        <f t="shared" si="28"/>
        <v>3309.3120000000113</v>
      </c>
    </row>
    <row r="255" spans="2:14">
      <c r="B255" s="281">
        <f t="shared" si="24"/>
        <v>22</v>
      </c>
      <c r="C255" s="281">
        <f t="shared" si="22"/>
        <v>6</v>
      </c>
      <c r="D255" s="558">
        <v>30</v>
      </c>
      <c r="E255" s="286"/>
      <c r="F255" s="286"/>
      <c r="G255" s="282">
        <f t="shared" si="25"/>
        <v>200160</v>
      </c>
      <c r="H255" s="283">
        <f>HLOOKUP($C255,'1'!$D$35:$O$38,3,FALSE)</f>
        <v>0.8</v>
      </c>
      <c r="I255" s="284">
        <f>HLOOKUP($C255,'1'!$D$35:$O$38,4,FALSE)</f>
        <v>0.98</v>
      </c>
      <c r="J255" s="282">
        <f>'1'!$E$42*D255*24</f>
        <v>200160</v>
      </c>
      <c r="K255" s="277">
        <f>(J255*'1'!$E$43)</f>
        <v>8006.4000000000005</v>
      </c>
      <c r="L255" s="277">
        <f t="shared" si="26"/>
        <v>3202.5600000000095</v>
      </c>
      <c r="M255" s="277">
        <f t="shared" si="27"/>
        <v>0</v>
      </c>
      <c r="N255" s="277">
        <f t="shared" si="28"/>
        <v>3202.5600000000095</v>
      </c>
    </row>
    <row r="256" spans="2:14">
      <c r="B256" s="281">
        <f t="shared" si="24"/>
        <v>22</v>
      </c>
      <c r="C256" s="281">
        <f t="shared" si="22"/>
        <v>7</v>
      </c>
      <c r="D256" s="558">
        <v>31</v>
      </c>
      <c r="E256" s="286"/>
      <c r="F256" s="286"/>
      <c r="G256" s="282">
        <f t="shared" si="25"/>
        <v>206832</v>
      </c>
      <c r="H256" s="283">
        <f>HLOOKUP($C256,'1'!$D$35:$O$38,3,FALSE)</f>
        <v>0.8</v>
      </c>
      <c r="I256" s="284">
        <f>HLOOKUP($C256,'1'!$D$35:$O$38,4,FALSE)</f>
        <v>0.98</v>
      </c>
      <c r="J256" s="282">
        <f>'1'!$E$42*D256*24</f>
        <v>206832</v>
      </c>
      <c r="K256" s="277">
        <f>(J256*'1'!$E$43)</f>
        <v>8273.2800000000007</v>
      </c>
      <c r="L256" s="277">
        <f t="shared" si="26"/>
        <v>3309.3120000000113</v>
      </c>
      <c r="M256" s="277">
        <f t="shared" si="27"/>
        <v>0</v>
      </c>
      <c r="N256" s="277">
        <f t="shared" si="28"/>
        <v>3309.3120000000113</v>
      </c>
    </row>
    <row r="257" spans="2:14">
      <c r="B257" s="281">
        <f t="shared" si="24"/>
        <v>22</v>
      </c>
      <c r="C257" s="281">
        <f t="shared" si="22"/>
        <v>8</v>
      </c>
      <c r="D257" s="558">
        <v>31</v>
      </c>
      <c r="E257" s="286"/>
      <c r="F257" s="286"/>
      <c r="G257" s="282">
        <f t="shared" si="25"/>
        <v>206832</v>
      </c>
      <c r="H257" s="283">
        <f>HLOOKUP($C257,'1'!$D$35:$O$38,3,FALSE)</f>
        <v>0.8</v>
      </c>
      <c r="I257" s="284">
        <f>HLOOKUP($C257,'1'!$D$35:$O$38,4,FALSE)</f>
        <v>0.98</v>
      </c>
      <c r="J257" s="282">
        <f>'1'!$E$42*D257*24</f>
        <v>206832</v>
      </c>
      <c r="K257" s="277">
        <f>(J257*'1'!$E$43)</f>
        <v>8273.2800000000007</v>
      </c>
      <c r="L257" s="277">
        <f t="shared" si="26"/>
        <v>3309.3120000000113</v>
      </c>
      <c r="M257" s="277">
        <f t="shared" si="27"/>
        <v>0</v>
      </c>
      <c r="N257" s="277">
        <f t="shared" si="28"/>
        <v>3309.3120000000113</v>
      </c>
    </row>
    <row r="258" spans="2:14">
      <c r="B258" s="281">
        <f t="shared" si="24"/>
        <v>22</v>
      </c>
      <c r="C258" s="281">
        <f t="shared" si="22"/>
        <v>9</v>
      </c>
      <c r="D258" s="558">
        <v>30</v>
      </c>
      <c r="E258" s="286"/>
      <c r="F258" s="286"/>
      <c r="G258" s="282">
        <f t="shared" si="25"/>
        <v>200160</v>
      </c>
      <c r="H258" s="283">
        <f>HLOOKUP($C258,'1'!$D$35:$O$38,3,FALSE)</f>
        <v>1.2</v>
      </c>
      <c r="I258" s="284">
        <f>HLOOKUP($C258,'1'!$D$35:$O$38,4,FALSE)</f>
        <v>0.98</v>
      </c>
      <c r="J258" s="282">
        <f>'1'!$E$42*D258*24</f>
        <v>200160</v>
      </c>
      <c r="K258" s="277">
        <f>(J258*'1'!$E$43)</f>
        <v>8006.4000000000005</v>
      </c>
      <c r="L258" s="277">
        <f t="shared" si="26"/>
        <v>4803.8400000000138</v>
      </c>
      <c r="M258" s="277">
        <f t="shared" si="27"/>
        <v>0</v>
      </c>
      <c r="N258" s="277">
        <f t="shared" si="28"/>
        <v>4803.8400000000138</v>
      </c>
    </row>
    <row r="259" spans="2:14">
      <c r="B259" s="281">
        <f t="shared" si="24"/>
        <v>22</v>
      </c>
      <c r="C259" s="281">
        <f t="shared" si="22"/>
        <v>10</v>
      </c>
      <c r="D259" s="558">
        <v>31</v>
      </c>
      <c r="E259" s="286"/>
      <c r="F259" s="286"/>
      <c r="G259" s="277">
        <f t="shared" si="25"/>
        <v>206832</v>
      </c>
      <c r="H259" s="283">
        <f>HLOOKUP($C259,'1'!$D$35:$O$38,3,FALSE)</f>
        <v>1.2</v>
      </c>
      <c r="I259" s="284">
        <f>HLOOKUP($C259,'1'!$D$35:$O$38,4,FALSE)</f>
        <v>0.98</v>
      </c>
      <c r="J259" s="282">
        <f>'1'!$E$42*D259*24</f>
        <v>206832</v>
      </c>
      <c r="K259" s="277">
        <f>(J259*'1'!$E$43)</f>
        <v>8273.2800000000007</v>
      </c>
      <c r="L259" s="277">
        <f t="shared" si="26"/>
        <v>4963.9680000000162</v>
      </c>
      <c r="M259" s="277">
        <f t="shared" si="27"/>
        <v>0</v>
      </c>
      <c r="N259" s="277">
        <f t="shared" si="28"/>
        <v>4963.9680000000162</v>
      </c>
    </row>
    <row r="260" spans="2:14">
      <c r="B260" s="281">
        <f t="shared" si="24"/>
        <v>22</v>
      </c>
      <c r="C260" s="281">
        <f t="shared" si="22"/>
        <v>11</v>
      </c>
      <c r="D260" s="558">
        <v>30</v>
      </c>
      <c r="E260" s="286"/>
      <c r="F260" s="286"/>
      <c r="G260" s="277">
        <f t="shared" si="25"/>
        <v>200160</v>
      </c>
      <c r="H260" s="283">
        <f>HLOOKUP($C260,'1'!$D$35:$O$38,3,FALSE)</f>
        <v>1.2</v>
      </c>
      <c r="I260" s="284">
        <f>HLOOKUP($C260,'1'!$D$35:$O$38,4,FALSE)</f>
        <v>0.98</v>
      </c>
      <c r="J260" s="282">
        <f>'1'!$E$42*D260*24</f>
        <v>200160</v>
      </c>
      <c r="K260" s="277">
        <f>(J260*'1'!$E$43)</f>
        <v>8006.4000000000005</v>
      </c>
      <c r="L260" s="277">
        <f t="shared" si="26"/>
        <v>4803.8400000000138</v>
      </c>
      <c r="M260" s="277">
        <f t="shared" si="27"/>
        <v>0</v>
      </c>
      <c r="N260" s="277">
        <f t="shared" si="28"/>
        <v>4803.8400000000138</v>
      </c>
    </row>
    <row r="261" spans="2:14">
      <c r="B261" s="281">
        <f t="shared" si="24"/>
        <v>22</v>
      </c>
      <c r="C261" s="281">
        <f t="shared" si="22"/>
        <v>12</v>
      </c>
      <c r="D261" s="558">
        <v>31</v>
      </c>
      <c r="E261" s="286"/>
      <c r="F261" s="286"/>
      <c r="G261" s="440">
        <f t="shared" si="25"/>
        <v>206832</v>
      </c>
      <c r="H261" s="475">
        <f>HLOOKUP($C261,'1'!$D$35:$O$38,3,FALSE)</f>
        <v>1.2</v>
      </c>
      <c r="I261" s="443">
        <f>HLOOKUP($C261,'1'!$D$35:$O$38,4,FALSE)</f>
        <v>0.98</v>
      </c>
      <c r="J261" s="441">
        <f>'1'!$E$42*D261*24</f>
        <v>206832</v>
      </c>
      <c r="K261" s="440">
        <f>(J261*'1'!$E$43)</f>
        <v>8273.2800000000007</v>
      </c>
      <c r="L261" s="440">
        <f t="shared" si="26"/>
        <v>4963.9680000000162</v>
      </c>
      <c r="M261" s="440">
        <f t="shared" si="27"/>
        <v>0</v>
      </c>
      <c r="N261" s="440">
        <f t="shared" si="28"/>
        <v>4963.9680000000162</v>
      </c>
    </row>
    <row r="262" spans="2:14"/>
    <row r="263" spans="2:14" hidden="1"/>
    <row r="264" spans="2:14" hidden="1"/>
    <row r="265" spans="2:14" hidden="1"/>
    <row r="266" spans="2:14" hidden="1"/>
    <row r="267" spans="2:14" hidden="1"/>
    <row r="268" spans="2:14" hidden="1"/>
    <row r="269" spans="2:14" hidden="1"/>
    <row r="270" spans="2:14" hidden="1"/>
    <row r="271" spans="2:14" hidden="1"/>
    <row r="272" spans="2:14"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sheetData>
  <sheetProtection sheet="1" objects="1" scenarios="1"/>
  <sortState ref="B9:N274">
    <sortCondition ref="E8"/>
  </sortState>
  <phoneticPr fontId="9" type="noConversion"/>
  <conditionalFormatting sqref="A8:A9 A12">
    <cfRule type="cellIs" dxfId="15" priority="3" operator="equal">
      <formula>"O"</formula>
    </cfRule>
    <cfRule type="cellIs" dxfId="14" priority="4" operator="equal">
      <formula>"P"</formula>
    </cfRule>
  </conditionalFormatting>
  <hyperlinks>
    <hyperlink ref="A5" location="'Sign off'!A1" display="Index"/>
  </hyperlinks>
  <printOptions horizontalCentered="1" headings="1"/>
  <pageMargins left="0" right="0" top="0" bottom="0.39370078740157483" header="0" footer="0"/>
  <pageSetup paperSize="8" scale="62" fitToHeight="3" orientation="portrait" r:id="rId1"/>
  <headerFooter alignWithMargins="0">
    <oddFooter>&amp;L&amp;Z&amp;F&amp;A&amp;C&amp;P&amp;R&amp;D</oddFooter>
  </headerFooter>
  <rowBreaks count="1" manualBreakCount="1">
    <brk id="131" min="1" max="14" man="1"/>
  </rowBreaks>
  <drawing r:id="rId2"/>
  <legacyDrawing r:id="rId3"/>
</worksheet>
</file>

<file path=xl/worksheets/sheet16.xml><?xml version="1.0" encoding="utf-8"?>
<worksheet xmlns="http://schemas.openxmlformats.org/spreadsheetml/2006/main" xmlns:r="http://schemas.openxmlformats.org/officeDocument/2006/relationships">
  <sheetPr codeName="Sheet17">
    <pageSetUpPr fitToPage="1"/>
  </sheetPr>
  <dimension ref="A1:Q276"/>
  <sheetViews>
    <sheetView zoomScale="90" zoomScaleNormal="90" zoomScaleSheetLayoutView="100" workbookViewId="0">
      <pane xSplit="2" ySplit="10" topLeftCell="C11" activePane="bottomRight" state="frozen"/>
      <selection activeCell="B6" sqref="B6:I16"/>
      <selection pane="topRight" activeCell="B6" sqref="B6:I16"/>
      <selection pane="bottomLeft" activeCell="B6" sqref="B6:I16"/>
      <selection pane="bottomRight"/>
    </sheetView>
  </sheetViews>
  <sheetFormatPr defaultColWidth="0" defaultRowHeight="12.75" zeroHeight="1"/>
  <cols>
    <col min="1" max="1" width="21.6640625" style="43" customWidth="1"/>
    <col min="2" max="2" width="9.33203125" style="255" customWidth="1"/>
    <col min="3" max="3" width="15.83203125" style="255" customWidth="1"/>
    <col min="4" max="4" width="23.6640625" style="255" customWidth="1"/>
    <col min="5" max="5" width="24" style="255" customWidth="1"/>
    <col min="6" max="6" width="18.1640625" style="255" customWidth="1"/>
    <col min="7" max="8" width="20.33203125" style="255" customWidth="1"/>
    <col min="9" max="9" width="21.1640625" style="255" customWidth="1"/>
    <col min="10" max="11" width="20.83203125" style="255" customWidth="1"/>
    <col min="12" max="12" width="21" style="255" customWidth="1"/>
    <col min="13" max="13" width="22.1640625" style="255" customWidth="1"/>
    <col min="14" max="14" width="14.33203125" style="255" bestFit="1" customWidth="1"/>
    <col min="15" max="17" width="0" style="255" hidden="1" customWidth="1"/>
    <col min="18" max="16384" width="9.33203125" style="255" hidden="1"/>
  </cols>
  <sheetData>
    <row r="1" spans="1:13" s="356" customFormat="1" ht="27.75" customHeight="1">
      <c r="D1" s="357" t="s">
        <v>185</v>
      </c>
    </row>
    <row r="2" spans="1:13" s="356" customFormat="1" ht="18" customHeight="1">
      <c r="D2" s="356" t="s">
        <v>169</v>
      </c>
      <c r="E2" s="358" t="str">
        <f>'Universal data'!$D$11</f>
        <v>Demo sands</v>
      </c>
    </row>
    <row r="3" spans="1:13" s="356" customFormat="1" ht="18" customHeight="1">
      <c r="D3" s="356" t="s">
        <v>170</v>
      </c>
      <c r="E3" s="358" t="str">
        <f>'Universal data'!$D$9</f>
        <v>[Offshore transmission operator 1]</v>
      </c>
      <c r="G3" s="360"/>
      <c r="H3" s="360"/>
      <c r="K3" s="360"/>
    </row>
    <row r="4" spans="1:13" s="356" customFormat="1" ht="18" customHeight="1">
      <c r="D4" s="356" t="s">
        <v>171</v>
      </c>
      <c r="E4" s="358" t="str">
        <f>'Universal data'!$D$12-1&amp;"-"&amp;'Universal data'!$D$12-2000</f>
        <v>2012-13</v>
      </c>
      <c r="G4" s="360"/>
      <c r="H4" s="360"/>
      <c r="K4" s="360"/>
    </row>
    <row r="5" spans="1:13">
      <c r="A5" s="26" t="s">
        <v>251</v>
      </c>
      <c r="I5" s="256"/>
    </row>
    <row r="6" spans="1:13" ht="18">
      <c r="A6" s="255"/>
      <c r="B6" s="258" t="s">
        <v>244</v>
      </c>
      <c r="I6" s="256"/>
    </row>
    <row r="7" spans="1:13">
      <c r="A7" s="255" t="s">
        <v>266</v>
      </c>
      <c r="C7" s="426"/>
      <c r="D7" s="281"/>
      <c r="E7" s="281"/>
      <c r="F7" s="281"/>
      <c r="G7" s="281"/>
      <c r="H7" s="281"/>
      <c r="I7" s="281"/>
      <c r="J7" s="281"/>
      <c r="K7" s="281"/>
      <c r="L7" s="281"/>
      <c r="M7" s="281"/>
    </row>
    <row r="8" spans="1:13" s="281" customFormat="1" ht="51">
      <c r="A8" s="379" t="s">
        <v>267</v>
      </c>
      <c r="B8" s="275" t="s">
        <v>0</v>
      </c>
      <c r="C8" s="276" t="s">
        <v>46</v>
      </c>
      <c r="D8" s="276" t="s">
        <v>6</v>
      </c>
      <c r="E8" s="276" t="s">
        <v>23</v>
      </c>
      <c r="F8" s="276" t="s">
        <v>49</v>
      </c>
      <c r="G8" s="276" t="s">
        <v>139</v>
      </c>
      <c r="H8" s="276" t="s">
        <v>26</v>
      </c>
      <c r="I8" s="276" t="s">
        <v>24</v>
      </c>
      <c r="J8" s="275" t="s">
        <v>7</v>
      </c>
      <c r="K8" s="276" t="s">
        <v>48</v>
      </c>
      <c r="L8" s="275" t="s">
        <v>25</v>
      </c>
      <c r="M8" s="276" t="s">
        <v>47</v>
      </c>
    </row>
    <row r="9" spans="1:13" s="281" customFormat="1" ht="14.25">
      <c r="A9" s="273"/>
      <c r="B9" s="477"/>
      <c r="C9" s="428" t="s">
        <v>218</v>
      </c>
      <c r="D9" s="428" t="s">
        <v>219</v>
      </c>
      <c r="E9" s="428" t="s">
        <v>220</v>
      </c>
      <c r="F9" s="428" t="s">
        <v>146</v>
      </c>
      <c r="G9" s="428" t="s">
        <v>147</v>
      </c>
      <c r="H9" s="428" t="s">
        <v>148</v>
      </c>
      <c r="I9" s="428" t="s">
        <v>149</v>
      </c>
      <c r="J9" s="427" t="s">
        <v>150</v>
      </c>
      <c r="K9" s="428" t="s">
        <v>221</v>
      </c>
      <c r="L9" s="427" t="s">
        <v>151</v>
      </c>
      <c r="M9" s="428" t="s">
        <v>222</v>
      </c>
    </row>
    <row r="10" spans="1:13" s="281" customFormat="1" ht="76.5">
      <c r="A10" s="255" t="s">
        <v>268</v>
      </c>
      <c r="C10" s="429" t="s">
        <v>152</v>
      </c>
      <c r="D10" s="429" t="s">
        <v>145</v>
      </c>
      <c r="E10" s="429" t="s">
        <v>144</v>
      </c>
      <c r="F10" s="429" t="s">
        <v>143</v>
      </c>
      <c r="G10" s="429" t="s">
        <v>140</v>
      </c>
      <c r="H10" s="429" t="s">
        <v>141</v>
      </c>
      <c r="I10" s="429" t="s">
        <v>142</v>
      </c>
      <c r="J10" s="429" t="s">
        <v>153</v>
      </c>
      <c r="K10" s="430" t="s">
        <v>154</v>
      </c>
      <c r="L10" s="429" t="s">
        <v>155</v>
      </c>
      <c r="M10" s="431" t="s">
        <v>156</v>
      </c>
    </row>
    <row r="11" spans="1:13" s="281" customFormat="1">
      <c r="A11" s="379" t="s">
        <v>269</v>
      </c>
      <c r="B11" s="278">
        <v>-3</v>
      </c>
      <c r="C11" s="280"/>
      <c r="D11" s="280"/>
      <c r="E11" s="280"/>
      <c r="F11" s="280"/>
      <c r="G11" s="280"/>
      <c r="H11" s="280"/>
      <c r="I11" s="280"/>
      <c r="J11" s="432"/>
      <c r="K11" s="433"/>
      <c r="L11" s="432"/>
      <c r="M11" s="433"/>
    </row>
    <row r="12" spans="1:13" s="281" customFormat="1">
      <c r="A12" s="414"/>
      <c r="B12" s="437">
        <v>-2</v>
      </c>
      <c r="C12" s="282"/>
      <c r="D12" s="277"/>
      <c r="E12" s="277"/>
      <c r="F12" s="277"/>
      <c r="G12" s="277"/>
      <c r="H12" s="277"/>
      <c r="I12" s="277"/>
      <c r="J12" s="434"/>
      <c r="K12" s="435"/>
      <c r="L12" s="434"/>
      <c r="M12" s="435"/>
    </row>
    <row r="13" spans="1:13" s="281" customFormat="1">
      <c r="A13" s="415" t="b">
        <v>0</v>
      </c>
      <c r="B13" s="437">
        <v>-1</v>
      </c>
      <c r="C13" s="282"/>
      <c r="D13" s="277"/>
      <c r="E13" s="277"/>
      <c r="F13" s="277"/>
      <c r="G13" s="277"/>
      <c r="H13" s="277"/>
      <c r="I13" s="277"/>
      <c r="J13" s="434"/>
      <c r="K13" s="435"/>
      <c r="L13" s="434"/>
      <c r="M13" s="435"/>
    </row>
    <row r="14" spans="1:13" s="281" customFormat="1">
      <c r="A14" s="43"/>
      <c r="B14" s="437">
        <v>0</v>
      </c>
      <c r="C14" s="282"/>
      <c r="D14" s="277"/>
      <c r="E14" s="277"/>
      <c r="F14" s="277"/>
      <c r="G14" s="277"/>
      <c r="H14" s="277"/>
      <c r="I14" s="277"/>
      <c r="J14" s="434"/>
      <c r="K14" s="435"/>
      <c r="L14" s="434"/>
      <c r="M14" s="435"/>
    </row>
    <row r="15" spans="1:13" s="281" customFormat="1">
      <c r="A15" s="43"/>
      <c r="B15" s="437">
        <v>1</v>
      </c>
      <c r="C15" s="282"/>
      <c r="D15" s="277"/>
      <c r="E15" s="277"/>
      <c r="F15" s="277"/>
      <c r="G15" s="277"/>
      <c r="H15" s="277"/>
      <c r="I15" s="277"/>
      <c r="J15" s="434"/>
      <c r="K15" s="435"/>
      <c r="L15" s="434"/>
      <c r="M15" s="435"/>
    </row>
    <row r="16" spans="1:13" s="281" customFormat="1">
      <c r="A16" s="420"/>
      <c r="B16" s="437">
        <v>2</v>
      </c>
      <c r="C16" s="282">
        <f>SUMIF('4a'!$B$10:$B$261,$B16,'4a'!$K$10:$K$261)</f>
        <v>97477.92</v>
      </c>
      <c r="D16" s="277">
        <f>SUMIF('4a'!$B$10:$B$261,$B16,'4a'!$M$10:$M$261)</f>
        <v>0</v>
      </c>
      <c r="E16" s="436">
        <f>SUMIF('4a'!$B$10:$B249,$B16,'4a'!$N$10:$N$249)</f>
        <v>48665.56800000013</v>
      </c>
      <c r="F16" s="436">
        <f>F15+D16+E16-H16-J15-L15</f>
        <v>48665.56800000013</v>
      </c>
      <c r="G16" s="277">
        <f t="shared" ref="G16:G21" si="0">G15+D11+E15-J15-H15-L15</f>
        <v>0</v>
      </c>
      <c r="H16" s="282"/>
      <c r="I16" s="277">
        <f>I15+E11+D16-J15-H15-L15</f>
        <v>0</v>
      </c>
      <c r="J16" s="434">
        <f t="shared" ref="J16" si="1">IF(F16&lt;0,IF(F16&lt;-C16,-C16,F16),0)</f>
        <v>0</v>
      </c>
      <c r="K16" s="284">
        <f>IF(ABS(C16)&lt;0.0001,"n/a",(-J16/C16)*'1'!$E$44)</f>
        <v>0</v>
      </c>
      <c r="L16" s="434">
        <f>IF(I16&gt;0,I16,0)</f>
        <v>0</v>
      </c>
      <c r="M16" s="284"/>
    </row>
    <row r="17" spans="1:13" s="281" customFormat="1">
      <c r="A17" s="43"/>
      <c r="B17" s="437">
        <v>3</v>
      </c>
      <c r="C17" s="282">
        <f>SUMIF('4a'!$B$10:$B$261,$B17,'4a'!$K$10:$K$261)</f>
        <v>97477.92</v>
      </c>
      <c r="D17" s="277">
        <f>SUMIF('4a'!$B$10:$B$261,$B17,'4a'!$M$10:$M$261)</f>
        <v>0</v>
      </c>
      <c r="E17" s="436">
        <f>SUMIF('4a'!$B$10:$B249,$B17,'4a'!$N$10:$N$249)</f>
        <v>48665.56800000013</v>
      </c>
      <c r="F17" s="436">
        <f t="shared" ref="F17:F35" si="2">F16+D17+E17-H17-J16-L16</f>
        <v>97331.136000000261</v>
      </c>
      <c r="G17" s="277">
        <f t="shared" si="0"/>
        <v>48665.56800000013</v>
      </c>
      <c r="H17" s="282"/>
      <c r="I17" s="277">
        <f>I16+E12+D17-J16-H16-L16</f>
        <v>0</v>
      </c>
      <c r="J17" s="434">
        <f t="shared" ref="J17:J35" si="3">IF(F17&lt;0,IF(F17&lt;-C17,-C17,F17),0)</f>
        <v>0</v>
      </c>
      <c r="K17" s="284">
        <f>(-J17/C17)*'1'!$E$44</f>
        <v>0</v>
      </c>
      <c r="L17" s="434">
        <f>IF(I17&gt;0,I17,0)</f>
        <v>0</v>
      </c>
      <c r="M17" s="284"/>
    </row>
    <row r="18" spans="1:13" s="281" customFormat="1">
      <c r="A18" s="43"/>
      <c r="B18" s="437">
        <v>4</v>
      </c>
      <c r="C18" s="282">
        <f>SUMIF('4a'!$B$10:$B$261,$B18,'4a'!$K$10:$K$261)</f>
        <v>97477.92</v>
      </c>
      <c r="D18" s="277">
        <f>SUMIF('4a'!$B$10:$B$261,$B18,'4a'!$M$10:$M$261)</f>
        <v>0</v>
      </c>
      <c r="E18" s="436">
        <f>SUMIF('4a'!$B$10:$B249,$B18,'4a'!$N$10:$N$249)</f>
        <v>48665.56800000013</v>
      </c>
      <c r="F18" s="436">
        <f t="shared" si="2"/>
        <v>145996.70400000038</v>
      </c>
      <c r="G18" s="277">
        <f t="shared" si="0"/>
        <v>97331.136000000261</v>
      </c>
      <c r="H18" s="282"/>
      <c r="I18" s="277">
        <f>I17+E13+D18-J17-H17-L17</f>
        <v>0</v>
      </c>
      <c r="J18" s="434">
        <f t="shared" si="3"/>
        <v>0</v>
      </c>
      <c r="K18" s="284">
        <f>(-J18/C18)*'1'!$E$44</f>
        <v>0</v>
      </c>
      <c r="L18" s="434">
        <f>IF(I18&gt;0,I18,0)</f>
        <v>0</v>
      </c>
      <c r="M18" s="284"/>
    </row>
    <row r="19" spans="1:13" s="281" customFormat="1">
      <c r="A19" s="43"/>
      <c r="B19" s="437">
        <v>5</v>
      </c>
      <c r="C19" s="282">
        <f>SUMIF('4a'!$B$10:$B$261,$B19,'4a'!$K$10:$K$261)</f>
        <v>97477.92</v>
      </c>
      <c r="D19" s="277">
        <f>SUMIF('4a'!$B$10:$B$261,$B19,'4a'!$M$10:$M$261)</f>
        <v>0</v>
      </c>
      <c r="E19" s="436">
        <f>SUMIF('4a'!$B$10:$B249,$B19,'4a'!$N$10:$N$249)</f>
        <v>48665.56800000013</v>
      </c>
      <c r="F19" s="436">
        <f t="shared" si="2"/>
        <v>194662.27200000052</v>
      </c>
      <c r="G19" s="277">
        <f t="shared" si="0"/>
        <v>145996.70400000038</v>
      </c>
      <c r="H19" s="282"/>
      <c r="I19" s="277">
        <f>I18+E14+D19-J18-H18-L18</f>
        <v>0</v>
      </c>
      <c r="J19" s="434">
        <f t="shared" si="3"/>
        <v>0</v>
      </c>
      <c r="K19" s="284">
        <f>(-J19/C19)*'1'!$E$44</f>
        <v>0</v>
      </c>
      <c r="L19" s="434">
        <f>IF(I19&gt;0,I19,0)</f>
        <v>0</v>
      </c>
      <c r="M19" s="284"/>
    </row>
    <row r="20" spans="1:13" s="281" customFormat="1">
      <c r="A20" s="43"/>
      <c r="B20" s="437">
        <v>6</v>
      </c>
      <c r="C20" s="282">
        <f>SUMIF('4a'!$B$10:$B$261,$B20,'4a'!$K$10:$K$261)</f>
        <v>97477.92</v>
      </c>
      <c r="D20" s="277">
        <f>SUMIF('4a'!$B$10:$B$261,$B20,'4a'!$M$10:$M$261)</f>
        <v>0</v>
      </c>
      <c r="E20" s="436">
        <f>SUMIF('4a'!$B$10:$B249,$B20,'4a'!$N$10:$N$249)</f>
        <v>48665.56800000013</v>
      </c>
      <c r="F20" s="436">
        <f t="shared" si="2"/>
        <v>243327.84000000067</v>
      </c>
      <c r="G20" s="277">
        <f t="shared" si="0"/>
        <v>194662.27200000052</v>
      </c>
      <c r="H20" s="282"/>
      <c r="I20" s="277">
        <f>I19+E15+D20-J19-H19-L19</f>
        <v>0</v>
      </c>
      <c r="J20" s="434">
        <f t="shared" si="3"/>
        <v>0</v>
      </c>
      <c r="K20" s="284">
        <f>(-J20/C20)*'1'!$E$44</f>
        <v>0</v>
      </c>
      <c r="L20" s="434">
        <f>IF(I20&gt;0,I20,0)</f>
        <v>0</v>
      </c>
      <c r="M20" s="284"/>
    </row>
    <row r="21" spans="1:13" s="281" customFormat="1">
      <c r="A21" s="43"/>
      <c r="B21" s="437">
        <v>7</v>
      </c>
      <c r="C21" s="282">
        <f>SUMIF('4a'!$B$10:$B$261,$B21,'4a'!$K$10:$K$261)</f>
        <v>97477.92</v>
      </c>
      <c r="D21" s="277">
        <f>SUMIF('4a'!$B$10:$B$261,$B21,'4a'!$M$10:$M$261)</f>
        <v>0</v>
      </c>
      <c r="E21" s="436">
        <f>SUMIF('4a'!$B$10:$B249,$B21,'4a'!$N$10:$N$249)</f>
        <v>48665.56800000013</v>
      </c>
      <c r="F21" s="436">
        <f t="shared" si="2"/>
        <v>291993.40800000081</v>
      </c>
      <c r="G21" s="277">
        <f t="shared" si="0"/>
        <v>243327.84000000067</v>
      </c>
      <c r="H21" s="282">
        <f>IF(AND(($D16+$C16)&lt;0,G21&lt;0),G21,0)</f>
        <v>0</v>
      </c>
      <c r="I21" s="277">
        <f t="shared" ref="I21:I35" si="4">I20+E16+D21-J20-H20-L20</f>
        <v>48665.56800000013</v>
      </c>
      <c r="J21" s="434">
        <f t="shared" si="3"/>
        <v>0</v>
      </c>
      <c r="K21" s="284">
        <f>(-J21/C21)*'1'!$E$44</f>
        <v>0</v>
      </c>
      <c r="L21" s="434">
        <f t="shared" ref="L21:L35" si="5">IF(I21&gt;0,I21,0)</f>
        <v>48665.56800000013</v>
      </c>
      <c r="M21" s="284">
        <f>IF(ABS(C16)&lt;0.0001,"n/a",(L21/C16)*'1'!$E$44)</f>
        <v>4.9924709103354004E-2</v>
      </c>
    </row>
    <row r="22" spans="1:13" s="281" customFormat="1">
      <c r="A22" s="43"/>
      <c r="B22" s="437">
        <v>8</v>
      </c>
      <c r="C22" s="282">
        <f>SUMIF('4a'!$B$10:$B$261,$B22,'4a'!$K$10:$K$261)</f>
        <v>97477.92</v>
      </c>
      <c r="D22" s="277">
        <f>SUMIF('4a'!$B$10:$B$261,$B22,'4a'!$M$10:$M$261)</f>
        <v>0</v>
      </c>
      <c r="E22" s="436">
        <f>SUMIF('4a'!$B$10:$B249,$B22,'4a'!$N$10:$N$249)</f>
        <v>48665.56800000013</v>
      </c>
      <c r="F22" s="436">
        <f t="shared" si="2"/>
        <v>291993.40800000081</v>
      </c>
      <c r="G22" s="277">
        <f t="shared" ref="G22:G35" si="6">G21+D17+E21-J21-H21-L21</f>
        <v>243327.84000000067</v>
      </c>
      <c r="H22" s="282">
        <f t="shared" ref="H22:H35" si="7">IF(AND(($D17+$C17)&lt;0,G22&lt;0),G22,0)</f>
        <v>0</v>
      </c>
      <c r="I22" s="277">
        <f t="shared" si="4"/>
        <v>48665.56800000013</v>
      </c>
      <c r="J22" s="434">
        <f t="shared" si="3"/>
        <v>0</v>
      </c>
      <c r="K22" s="284">
        <f>(-J22/C22)*'1'!$E$44</f>
        <v>0</v>
      </c>
      <c r="L22" s="434">
        <f t="shared" si="5"/>
        <v>48665.56800000013</v>
      </c>
      <c r="M22" s="284">
        <f>(L22/C17)*'1'!$E$44</f>
        <v>4.9924709103354004E-2</v>
      </c>
    </row>
    <row r="23" spans="1:13" s="281" customFormat="1">
      <c r="A23" s="43"/>
      <c r="B23" s="437">
        <v>9</v>
      </c>
      <c r="C23" s="282">
        <f>SUMIF('4a'!$B$10:$B$261,$B23,'4a'!$K$10:$K$261)</f>
        <v>97477.92</v>
      </c>
      <c r="D23" s="277">
        <f>SUMIF('4a'!$B$10:$B$261,$B23,'4a'!$M$10:$M$261)</f>
        <v>0</v>
      </c>
      <c r="E23" s="436">
        <f>SUMIF('4a'!$B$10:$B249,$B23,'4a'!$N$10:$N$249)</f>
        <v>48665.56800000013</v>
      </c>
      <c r="F23" s="436">
        <f t="shared" si="2"/>
        <v>291993.40800000081</v>
      </c>
      <c r="G23" s="277">
        <f t="shared" si="6"/>
        <v>243327.84000000067</v>
      </c>
      <c r="H23" s="282">
        <f t="shared" si="7"/>
        <v>0</v>
      </c>
      <c r="I23" s="277">
        <f t="shared" si="4"/>
        <v>48665.56800000013</v>
      </c>
      <c r="J23" s="434">
        <f t="shared" si="3"/>
        <v>0</v>
      </c>
      <c r="K23" s="284">
        <f>(-J23/C23)*'1'!$E$44</f>
        <v>0</v>
      </c>
      <c r="L23" s="434">
        <f t="shared" si="5"/>
        <v>48665.56800000013</v>
      </c>
      <c r="M23" s="284">
        <f>(L23/C18)*'1'!$E$44</f>
        <v>4.9924709103354004E-2</v>
      </c>
    </row>
    <row r="24" spans="1:13" s="281" customFormat="1">
      <c r="A24" s="43"/>
      <c r="B24" s="437">
        <v>10</v>
      </c>
      <c r="C24" s="282">
        <f>SUMIF('4a'!$B$10:$B$261,$B24,'4a'!$K$10:$K$261)</f>
        <v>97477.92</v>
      </c>
      <c r="D24" s="277">
        <f>SUMIF('4a'!$B$10:$B$261,$B24,'4a'!$M$10:$M$261)</f>
        <v>0</v>
      </c>
      <c r="E24" s="436">
        <f>SUMIF('4a'!$B$10:$B249,$B24,'4a'!$N$10:$N$249)</f>
        <v>48665.56800000013</v>
      </c>
      <c r="F24" s="436">
        <f t="shared" si="2"/>
        <v>291993.40800000081</v>
      </c>
      <c r="G24" s="277">
        <f t="shared" si="6"/>
        <v>243327.84000000067</v>
      </c>
      <c r="H24" s="282">
        <f t="shared" si="7"/>
        <v>0</v>
      </c>
      <c r="I24" s="277">
        <f t="shared" si="4"/>
        <v>48665.56800000013</v>
      </c>
      <c r="J24" s="434">
        <f t="shared" si="3"/>
        <v>0</v>
      </c>
      <c r="K24" s="284">
        <f>(-J24/C24)*'1'!$E$44</f>
        <v>0</v>
      </c>
      <c r="L24" s="434">
        <f t="shared" si="5"/>
        <v>48665.56800000013</v>
      </c>
      <c r="M24" s="284">
        <f>(L24/C19)*'1'!$E$44</f>
        <v>4.9924709103354004E-2</v>
      </c>
    </row>
    <row r="25" spans="1:13" s="281" customFormat="1">
      <c r="A25" s="43"/>
      <c r="B25" s="437">
        <v>11</v>
      </c>
      <c r="C25" s="282">
        <f>SUMIF('4a'!$B$10:$B$261,$B25,'4a'!$K$10:$K$261)</f>
        <v>97477.92</v>
      </c>
      <c r="D25" s="277">
        <f>SUMIF('4a'!$B$10:$B$261,$B25,'4a'!$M$10:$M$261)</f>
        <v>0</v>
      </c>
      <c r="E25" s="436">
        <f>SUMIF('4a'!$B$10:$B249,$B25,'4a'!$N$10:$N$249)</f>
        <v>48665.56800000013</v>
      </c>
      <c r="F25" s="436">
        <f t="shared" si="2"/>
        <v>291993.40800000081</v>
      </c>
      <c r="G25" s="277">
        <f t="shared" si="6"/>
        <v>243327.84000000067</v>
      </c>
      <c r="H25" s="282">
        <f t="shared" si="7"/>
        <v>0</v>
      </c>
      <c r="I25" s="277">
        <f t="shared" si="4"/>
        <v>48665.56800000013</v>
      </c>
      <c r="J25" s="434">
        <f t="shared" si="3"/>
        <v>0</v>
      </c>
      <c r="K25" s="284">
        <f>(-J25/C25)*'1'!$E$44</f>
        <v>0</v>
      </c>
      <c r="L25" s="434">
        <f t="shared" si="5"/>
        <v>48665.56800000013</v>
      </c>
      <c r="M25" s="284">
        <f>(L25/C20)*'1'!$E$44</f>
        <v>4.9924709103354004E-2</v>
      </c>
    </row>
    <row r="26" spans="1:13" s="281" customFormat="1">
      <c r="A26" s="43"/>
      <c r="B26" s="437">
        <v>12</v>
      </c>
      <c r="C26" s="282">
        <f>SUMIF('4a'!$B$10:$B$261,$B26,'4a'!$K$10:$K$261)</f>
        <v>97477.92</v>
      </c>
      <c r="D26" s="277">
        <f>SUMIF('4a'!$B$10:$B$261,$B26,'4a'!$M$10:$M$261)</f>
        <v>0</v>
      </c>
      <c r="E26" s="436">
        <f>SUMIF('4a'!$B$10:$B249,$B26,'4a'!$N$10:$N$249)</f>
        <v>48665.56800000013</v>
      </c>
      <c r="F26" s="436">
        <f t="shared" si="2"/>
        <v>291993.40800000081</v>
      </c>
      <c r="G26" s="277">
        <f t="shared" si="6"/>
        <v>243327.84000000067</v>
      </c>
      <c r="H26" s="282">
        <f t="shared" si="7"/>
        <v>0</v>
      </c>
      <c r="I26" s="277">
        <f t="shared" si="4"/>
        <v>48665.56800000013</v>
      </c>
      <c r="J26" s="434">
        <f t="shared" si="3"/>
        <v>0</v>
      </c>
      <c r="K26" s="284">
        <f>(-J26/C26)*'1'!$E$44</f>
        <v>0</v>
      </c>
      <c r="L26" s="434">
        <f t="shared" si="5"/>
        <v>48665.56800000013</v>
      </c>
      <c r="M26" s="284">
        <f>(L26/C21)*'1'!$E$44</f>
        <v>4.9924709103354004E-2</v>
      </c>
    </row>
    <row r="27" spans="1:13" s="281" customFormat="1">
      <c r="A27" s="43"/>
      <c r="B27" s="437">
        <v>13</v>
      </c>
      <c r="C27" s="282">
        <f>SUMIF('4a'!$B$10:$B$261,$B27,'4a'!$K$10:$K$261)</f>
        <v>97477.92</v>
      </c>
      <c r="D27" s="277">
        <f>SUMIF('4a'!$B$10:$B$261,$B27,'4a'!$M$10:$M$261)</f>
        <v>0</v>
      </c>
      <c r="E27" s="436">
        <f>SUMIF('4a'!$B$10:$B249,$B27,'4a'!$N$10:$N$249)</f>
        <v>48665.56800000013</v>
      </c>
      <c r="F27" s="436">
        <f t="shared" si="2"/>
        <v>291993.40800000081</v>
      </c>
      <c r="G27" s="277">
        <f t="shared" si="6"/>
        <v>243327.84000000067</v>
      </c>
      <c r="H27" s="282">
        <f t="shared" si="7"/>
        <v>0</v>
      </c>
      <c r="I27" s="277">
        <f t="shared" si="4"/>
        <v>48665.56800000013</v>
      </c>
      <c r="J27" s="434">
        <f t="shared" si="3"/>
        <v>0</v>
      </c>
      <c r="K27" s="284">
        <f>(-J27/C27)*'1'!$E$44</f>
        <v>0</v>
      </c>
      <c r="L27" s="434">
        <f t="shared" si="5"/>
        <v>48665.56800000013</v>
      </c>
      <c r="M27" s="284">
        <f>(L27/C22)*'1'!$E$44</f>
        <v>4.9924709103354004E-2</v>
      </c>
    </row>
    <row r="28" spans="1:13" s="281" customFormat="1">
      <c r="A28" s="43"/>
      <c r="B28" s="437">
        <v>14</v>
      </c>
      <c r="C28" s="282">
        <f>SUMIF('4a'!$B$10:$B$261,$B28,'4a'!$K$10:$K$261)</f>
        <v>97477.92</v>
      </c>
      <c r="D28" s="277">
        <f>SUMIF('4a'!$B$10:$B$261,$B28,'4a'!$M$10:$M$261)</f>
        <v>0</v>
      </c>
      <c r="E28" s="436">
        <f>SUMIF('4a'!$B$10:$B249,$B28,'4a'!$N$10:$N$249)</f>
        <v>48665.56800000013</v>
      </c>
      <c r="F28" s="436">
        <f t="shared" si="2"/>
        <v>291993.40800000081</v>
      </c>
      <c r="G28" s="277">
        <f t="shared" si="6"/>
        <v>243327.84000000067</v>
      </c>
      <c r="H28" s="282">
        <f t="shared" si="7"/>
        <v>0</v>
      </c>
      <c r="I28" s="277">
        <f t="shared" si="4"/>
        <v>48665.56800000013</v>
      </c>
      <c r="J28" s="434">
        <f t="shared" si="3"/>
        <v>0</v>
      </c>
      <c r="K28" s="284">
        <f>(-J28/C28)*'1'!$E$44</f>
        <v>0</v>
      </c>
      <c r="L28" s="434">
        <f t="shared" si="5"/>
        <v>48665.56800000013</v>
      </c>
      <c r="M28" s="284">
        <f>(L28/C23)*'1'!$E$44</f>
        <v>4.9924709103354004E-2</v>
      </c>
    </row>
    <row r="29" spans="1:13" s="281" customFormat="1">
      <c r="A29" s="43"/>
      <c r="B29" s="437">
        <v>15</v>
      </c>
      <c r="C29" s="282">
        <f>SUMIF('4a'!$B$10:$B$261,$B29,'4a'!$K$10:$K$261)</f>
        <v>97477.92</v>
      </c>
      <c r="D29" s="277">
        <f>SUMIF('4a'!$B$10:$B$261,$B29,'4a'!$M$10:$M$261)</f>
        <v>0</v>
      </c>
      <c r="E29" s="436">
        <f>SUMIF('4a'!$B$10:$B249,$B29,'4a'!$N$10:$N$249)</f>
        <v>48665.56800000013</v>
      </c>
      <c r="F29" s="436">
        <f t="shared" si="2"/>
        <v>291993.40800000081</v>
      </c>
      <c r="G29" s="277">
        <f t="shared" si="6"/>
        <v>243327.84000000067</v>
      </c>
      <c r="H29" s="282">
        <f t="shared" si="7"/>
        <v>0</v>
      </c>
      <c r="I29" s="277">
        <f t="shared" si="4"/>
        <v>48665.56800000013</v>
      </c>
      <c r="J29" s="434">
        <f t="shared" si="3"/>
        <v>0</v>
      </c>
      <c r="K29" s="284">
        <f>(-J29/C29)*'1'!$E$44</f>
        <v>0</v>
      </c>
      <c r="L29" s="434">
        <f t="shared" si="5"/>
        <v>48665.56800000013</v>
      </c>
      <c r="M29" s="284">
        <f>(L29/C24)*'1'!$E$44</f>
        <v>4.9924709103354004E-2</v>
      </c>
    </row>
    <row r="30" spans="1:13" s="281" customFormat="1">
      <c r="A30" s="43"/>
      <c r="B30" s="437">
        <v>16</v>
      </c>
      <c r="C30" s="282">
        <f>SUMIF('4a'!$B$10:$B$261,$B30,'4a'!$K$10:$K$261)</f>
        <v>97477.92</v>
      </c>
      <c r="D30" s="277">
        <f>SUMIF('4a'!$B$10:$B$261,$B30,'4a'!$M$10:$M$261)</f>
        <v>0</v>
      </c>
      <c r="E30" s="436">
        <f ca="1">SUMIF('4a'!$B$10:$B262,$B30,'4a'!$N$10:$N$249)</f>
        <v>48665.56800000013</v>
      </c>
      <c r="F30" s="436">
        <f t="shared" ca="1" si="2"/>
        <v>291993.40800000081</v>
      </c>
      <c r="G30" s="277">
        <f t="shared" si="6"/>
        <v>243327.84000000067</v>
      </c>
      <c r="H30" s="282">
        <f t="shared" si="7"/>
        <v>0</v>
      </c>
      <c r="I30" s="277">
        <f t="shared" si="4"/>
        <v>48665.56800000013</v>
      </c>
      <c r="J30" s="434">
        <f t="shared" ca="1" si="3"/>
        <v>0</v>
      </c>
      <c r="K30" s="284">
        <f ca="1">(-J30/C30)*'1'!$E$44</f>
        <v>0</v>
      </c>
      <c r="L30" s="434">
        <f t="shared" si="5"/>
        <v>48665.56800000013</v>
      </c>
      <c r="M30" s="284">
        <f>(L30/C25)*'1'!$E$44</f>
        <v>4.9924709103354004E-2</v>
      </c>
    </row>
    <row r="31" spans="1:13" s="281" customFormat="1">
      <c r="A31" s="43"/>
      <c r="B31" s="437">
        <v>17</v>
      </c>
      <c r="C31" s="282">
        <f>SUMIF('4a'!$B$10:$B$261,$B31,'4a'!$K$10:$K$261)</f>
        <v>97477.92</v>
      </c>
      <c r="D31" s="277">
        <f>SUMIF('4a'!$B$10:$B$261,$B31,'4a'!$M$10:$M$261)</f>
        <v>0</v>
      </c>
      <c r="E31" s="436">
        <f ca="1">SUMIF('4a'!$B$10:$B263,$B31,'4a'!$N$10:$N$249)</f>
        <v>48665.56800000013</v>
      </c>
      <c r="F31" s="436">
        <f t="shared" ca="1" si="2"/>
        <v>291993.40800000081</v>
      </c>
      <c r="G31" s="277">
        <f t="shared" ca="1" si="6"/>
        <v>243327.84000000067</v>
      </c>
      <c r="H31" s="282">
        <f t="shared" ca="1" si="7"/>
        <v>0</v>
      </c>
      <c r="I31" s="277">
        <f t="shared" ca="1" si="4"/>
        <v>48665.56800000013</v>
      </c>
      <c r="J31" s="434">
        <f t="shared" ca="1" si="3"/>
        <v>0</v>
      </c>
      <c r="K31" s="284">
        <f ca="1">(-J31/C31)*'1'!$E$44</f>
        <v>0</v>
      </c>
      <c r="L31" s="434">
        <f t="shared" ca="1" si="5"/>
        <v>48665.56800000013</v>
      </c>
      <c r="M31" s="284">
        <f ca="1">(L31/C26)*'1'!$E$44</f>
        <v>4.9924709103354004E-2</v>
      </c>
    </row>
    <row r="32" spans="1:13" s="281" customFormat="1">
      <c r="A32" s="43"/>
      <c r="B32" s="437">
        <v>18</v>
      </c>
      <c r="C32" s="282">
        <f>SUMIF('4a'!$B$10:$B$261,$B32,'4a'!$K$10:$K$261)</f>
        <v>97477.92</v>
      </c>
      <c r="D32" s="277">
        <f>SUMIF('4a'!$B$10:$B$261,$B32,'4a'!$M$10:$M$261)</f>
        <v>0</v>
      </c>
      <c r="E32" s="436">
        <f ca="1">SUMIF('4a'!$B$10:$B264,$B32,'4a'!$N$10:$N$249)</f>
        <v>48665.56800000013</v>
      </c>
      <c r="F32" s="436">
        <f t="shared" ca="1" si="2"/>
        <v>291993.40800000081</v>
      </c>
      <c r="G32" s="277">
        <f t="shared" ca="1" si="6"/>
        <v>243327.84000000067</v>
      </c>
      <c r="H32" s="282">
        <f t="shared" ca="1" si="7"/>
        <v>0</v>
      </c>
      <c r="I32" s="277">
        <f t="shared" ca="1" si="4"/>
        <v>48665.56800000013</v>
      </c>
      <c r="J32" s="434">
        <f t="shared" ca="1" si="3"/>
        <v>0</v>
      </c>
      <c r="K32" s="284">
        <f ca="1">(-J32/C32)*'1'!$E$44</f>
        <v>0</v>
      </c>
      <c r="L32" s="434">
        <f t="shared" ca="1" si="5"/>
        <v>48665.56800000013</v>
      </c>
      <c r="M32" s="284">
        <f ca="1">(L32/C27)*'1'!$E$44</f>
        <v>4.9924709103354004E-2</v>
      </c>
    </row>
    <row r="33" spans="1:13" s="281" customFormat="1">
      <c r="A33" s="43"/>
      <c r="B33" s="437">
        <v>19</v>
      </c>
      <c r="C33" s="282">
        <f>SUMIF('4a'!$B$10:$B$261,$B33,'4a'!$K$10:$K$261)</f>
        <v>97477.92</v>
      </c>
      <c r="D33" s="277">
        <f>SUMIF('4a'!$B$10:$B$261,$B33,'4a'!$M$10:$M$261)</f>
        <v>0</v>
      </c>
      <c r="E33" s="436">
        <f ca="1">SUMIF('4a'!$B$10:$B265,$B33,'4a'!$N$10:$N$249)</f>
        <v>48665.56800000013</v>
      </c>
      <c r="F33" s="436">
        <f t="shared" ca="1" si="2"/>
        <v>291993.40800000081</v>
      </c>
      <c r="G33" s="277">
        <f t="shared" ca="1" si="6"/>
        <v>243327.84000000067</v>
      </c>
      <c r="H33" s="282">
        <f t="shared" ca="1" si="7"/>
        <v>0</v>
      </c>
      <c r="I33" s="277">
        <f t="shared" ca="1" si="4"/>
        <v>48665.56800000013</v>
      </c>
      <c r="J33" s="434">
        <f t="shared" ca="1" si="3"/>
        <v>0</v>
      </c>
      <c r="K33" s="284">
        <f ca="1">(-J33/C33)*'1'!$E$44</f>
        <v>0</v>
      </c>
      <c r="L33" s="434">
        <f t="shared" ca="1" si="5"/>
        <v>48665.56800000013</v>
      </c>
      <c r="M33" s="284">
        <f ca="1">(L33/C28)*'1'!$E$44</f>
        <v>4.9924709103354004E-2</v>
      </c>
    </row>
    <row r="34" spans="1:13" s="281" customFormat="1">
      <c r="A34" s="43"/>
      <c r="B34" s="437">
        <v>20</v>
      </c>
      <c r="C34" s="282">
        <f>SUMIF('4a'!$B$10:$B$261,$B34,'4a'!$K$10:$K$261)</f>
        <v>97477.92</v>
      </c>
      <c r="D34" s="277">
        <f>SUMIF('4a'!$B$10:$B$261,$B34,'4a'!$M$10:$M$261)</f>
        <v>0</v>
      </c>
      <c r="E34" s="436">
        <f ca="1">SUMIF('4a'!$B$10:$B266,$B34,'4a'!$N$10:$N$249)</f>
        <v>48665.56800000013</v>
      </c>
      <c r="F34" s="436">
        <f t="shared" ca="1" si="2"/>
        <v>291993.40800000081</v>
      </c>
      <c r="G34" s="277">
        <f t="shared" ca="1" si="6"/>
        <v>243327.84000000067</v>
      </c>
      <c r="H34" s="282">
        <f t="shared" ca="1" si="7"/>
        <v>0</v>
      </c>
      <c r="I34" s="277">
        <f t="shared" ca="1" si="4"/>
        <v>48665.56800000013</v>
      </c>
      <c r="J34" s="434">
        <f t="shared" ca="1" si="3"/>
        <v>0</v>
      </c>
      <c r="K34" s="284">
        <f ca="1">(-J34/C34)*'1'!$E$44</f>
        <v>0</v>
      </c>
      <c r="L34" s="434">
        <f t="shared" ca="1" si="5"/>
        <v>48665.56800000013</v>
      </c>
      <c r="M34" s="284">
        <f ca="1">(L34/C29)*'1'!$E$44</f>
        <v>4.9924709103354004E-2</v>
      </c>
    </row>
    <row r="35" spans="1:13" s="281" customFormat="1">
      <c r="A35" s="43"/>
      <c r="B35" s="437">
        <v>21</v>
      </c>
      <c r="C35" s="282">
        <f>SUMIF('4a'!$B$10:$B$261,$B35,'4a'!$K$10:$K$261)</f>
        <v>97477.92</v>
      </c>
      <c r="D35" s="277">
        <f>SUMIF('4a'!$B$10:$B$261,$B35,'4a'!$M$10:$M$261)</f>
        <v>0</v>
      </c>
      <c r="E35" s="436">
        <f ca="1">SUMIF('4a'!$B$10:$B267,$B35,'4a'!$N$10:$N$249)</f>
        <v>48665.56800000013</v>
      </c>
      <c r="F35" s="277">
        <f t="shared" ca="1" si="2"/>
        <v>291993.40800000081</v>
      </c>
      <c r="G35" s="277">
        <f t="shared" ca="1" si="6"/>
        <v>243327.84000000067</v>
      </c>
      <c r="H35" s="277">
        <f t="shared" ca="1" si="7"/>
        <v>0</v>
      </c>
      <c r="I35" s="277">
        <f t="shared" ca="1" si="4"/>
        <v>48665.56800000013</v>
      </c>
      <c r="J35" s="277">
        <f t="shared" ca="1" si="3"/>
        <v>0</v>
      </c>
      <c r="K35" s="284">
        <f ca="1">IF(ISERROR((-J35/C35)*'1'!$E$44),0,(-J35/C35)*'1'!$E$44)</f>
        <v>0</v>
      </c>
      <c r="L35" s="436">
        <f t="shared" ca="1" si="5"/>
        <v>48665.56800000013</v>
      </c>
      <c r="M35" s="284">
        <f ca="1">(L35/C30)*'1'!$E$44</f>
        <v>4.9924709103354004E-2</v>
      </c>
    </row>
    <row r="36" spans="1:13">
      <c r="B36" s="281">
        <v>22</v>
      </c>
      <c r="C36" s="440">
        <f>SUMIF('4a'!$B$10:$B$261,$B36,'4a'!$K$10:$K$261)</f>
        <v>97477.92</v>
      </c>
      <c r="D36" s="440">
        <f>SUMIF('4a'!$B$10:$B$261,$B36,'4a'!$M$10:$M$261)</f>
        <v>0</v>
      </c>
      <c r="E36" s="440">
        <f ca="1">SUMIF('4a'!$B$10:$B268,$B36,'4a'!$N$10:$N$249)</f>
        <v>48665.56800000013</v>
      </c>
      <c r="F36" s="439">
        <f t="shared" ref="F36" ca="1" si="8">F35+D36+E36-H36-J35-L35</f>
        <v>291993.40800000081</v>
      </c>
      <c r="G36" s="440">
        <f t="shared" ref="G36" ca="1" si="9">G35+D31+E35-J35-H35-L35</f>
        <v>243327.84000000067</v>
      </c>
      <c r="H36" s="441">
        <f t="shared" ref="H36" ca="1" si="10">IF(AND(($D31+$C31)&lt;0,G36&lt;0),G36,0)</f>
        <v>0</v>
      </c>
      <c r="I36" s="440">
        <f t="shared" ref="I36" ca="1" si="11">I35+E31+D36-J35-H35-L35</f>
        <v>48665.56800000013</v>
      </c>
      <c r="J36" s="442">
        <f t="shared" ref="J36" ca="1" si="12">IF(F36&lt;0,IF(F36&lt;-C36,-C36,F36),0)</f>
        <v>0</v>
      </c>
      <c r="K36" s="443">
        <f ca="1">IF(ISERROR((-J36/C36)*'1'!$E$44),0,(-J36/C36)*'1'!$E$44)</f>
        <v>0</v>
      </c>
      <c r="L36" s="442">
        <f t="shared" ref="L36" ca="1" si="13">IF(I36&gt;0,I36,0)</f>
        <v>48665.56800000013</v>
      </c>
      <c r="M36" s="443">
        <f ca="1">(L36/C31)*'1'!$E$44</f>
        <v>4.9924709103354004E-2</v>
      </c>
    </row>
    <row r="37" spans="1:13">
      <c r="F37" s="444"/>
      <c r="G37" s="281"/>
      <c r="H37" s="281"/>
      <c r="I37" s="445"/>
    </row>
    <row r="38" spans="1:13" hidden="1">
      <c r="I38" s="445"/>
    </row>
    <row r="39" spans="1:13" hidden="1">
      <c r="I39" s="445"/>
    </row>
    <row r="40" spans="1:13" hidden="1">
      <c r="I40" s="445"/>
    </row>
    <row r="41" spans="1:13" hidden="1">
      <c r="F41" s="446"/>
    </row>
    <row r="42" spans="1:13" hidden="1"/>
    <row r="43" spans="1:13" hidden="1"/>
    <row r="44" spans="1:13" hidden="1"/>
    <row r="45" spans="1:13" hidden="1"/>
    <row r="46" spans="1:13" hidden="1"/>
    <row r="47" spans="1:13" hidden="1"/>
    <row r="48" spans="1:13"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sheetData>
  <sheetProtection sheet="1" objects="1" scenarios="1"/>
  <conditionalFormatting sqref="A8 A11">
    <cfRule type="cellIs" dxfId="13" priority="3" operator="equal">
      <formula>"O"</formula>
    </cfRule>
    <cfRule type="cellIs" dxfId="12" priority="4" operator="equal">
      <formula>"P"</formula>
    </cfRule>
  </conditionalFormatting>
  <hyperlinks>
    <hyperlink ref="A5" location="'Sign off'!A1" display="Index"/>
  </hyperlinks>
  <printOptions horizontalCentered="1" headings="1"/>
  <pageMargins left="0" right="0" top="0" bottom="0.35433070866141736" header="0" footer="0"/>
  <pageSetup paperSize="8" scale="89" orientation="landscape" r:id="rId1"/>
  <headerFooter>
    <oddFooter>&amp;L&amp;Z&amp;F&amp;A&amp;C&amp;P&amp;R&amp;D</oddFooter>
  </headerFooter>
  <drawing r:id="rId2"/>
  <legacyDrawing r:id="rId3"/>
</worksheet>
</file>

<file path=xl/worksheets/sheet17.xml><?xml version="1.0" encoding="utf-8"?>
<worksheet xmlns="http://schemas.openxmlformats.org/spreadsheetml/2006/main" xmlns:r="http://schemas.openxmlformats.org/officeDocument/2006/relationships">
  <sheetPr codeName="Sheet18">
    <pageSetUpPr fitToPage="1"/>
  </sheetPr>
  <dimension ref="A1:P275"/>
  <sheetViews>
    <sheetView view="pageBreakPreview" zoomScale="90" zoomScaleNormal="100" zoomScaleSheetLayoutView="90" workbookViewId="0"/>
  </sheetViews>
  <sheetFormatPr defaultColWidth="0" defaultRowHeight="12.75" zeroHeight="1"/>
  <cols>
    <col min="1" max="1" width="20.6640625" style="43" customWidth="1"/>
    <col min="2" max="2" width="4.6640625" style="255" bestFit="1" customWidth="1"/>
    <col min="3" max="4" width="21.33203125" style="255" customWidth="1"/>
    <col min="5" max="5" width="20.83203125" style="255" customWidth="1"/>
    <col min="6" max="6" width="25.33203125" style="255" customWidth="1"/>
    <col min="7" max="7" width="31.5" style="256" bestFit="1" customWidth="1"/>
    <col min="8" max="8" width="14" style="257" bestFit="1" customWidth="1"/>
    <col min="9" max="9" width="45" style="255" bestFit="1" customWidth="1"/>
    <col min="10" max="10" width="16.6640625" style="257" bestFit="1" customWidth="1"/>
    <col min="11" max="11" width="9.33203125" style="255" customWidth="1"/>
    <col min="12" max="14" width="9.33203125" style="255" hidden="1" customWidth="1"/>
    <col min="15" max="15" width="12.5" style="255" hidden="1" customWidth="1"/>
    <col min="16" max="16" width="11.33203125" style="255" hidden="1" customWidth="1"/>
    <col min="17" max="16384" width="9.33203125" style="255" hidden="1"/>
  </cols>
  <sheetData>
    <row r="1" spans="1:16" s="356" customFormat="1" ht="27.75" customHeight="1">
      <c r="D1" s="357" t="s">
        <v>185</v>
      </c>
    </row>
    <row r="2" spans="1:16" s="356" customFormat="1" ht="18" customHeight="1">
      <c r="D2" s="356" t="s">
        <v>169</v>
      </c>
      <c r="E2" s="358" t="str">
        <f>'Universal data'!$D$11</f>
        <v>Demo sands</v>
      </c>
    </row>
    <row r="3" spans="1:16" s="356" customFormat="1" ht="18" customHeight="1">
      <c r="D3" s="356" t="s">
        <v>170</v>
      </c>
      <c r="E3" s="358" t="str">
        <f>'Universal data'!$D$9</f>
        <v>[Offshore transmission operator 1]</v>
      </c>
      <c r="G3" s="360"/>
      <c r="H3" s="360"/>
      <c r="K3" s="360"/>
    </row>
    <row r="4" spans="1:16" s="356" customFormat="1" ht="18" customHeight="1">
      <c r="D4" s="356" t="s">
        <v>171</v>
      </c>
      <c r="E4" s="358" t="str">
        <f>'Universal data'!$D$12-1&amp;"-"&amp;'Universal data'!$D$12-2000</f>
        <v>2012-13</v>
      </c>
      <c r="G4" s="360"/>
      <c r="H4" s="360"/>
      <c r="K4" s="360"/>
    </row>
    <row r="5" spans="1:16">
      <c r="A5" s="26" t="s">
        <v>251</v>
      </c>
    </row>
    <row r="6" spans="1:16" ht="18">
      <c r="A6" s="255"/>
      <c r="B6" s="258" t="s">
        <v>245</v>
      </c>
    </row>
    <row r="7" spans="1:16">
      <c r="A7" s="255" t="s">
        <v>266</v>
      </c>
    </row>
    <row r="8" spans="1:16" ht="38.25">
      <c r="A8" s="379" t="s">
        <v>267</v>
      </c>
      <c r="B8" s="259"/>
      <c r="C8" s="260" t="s">
        <v>299</v>
      </c>
      <c r="D8" s="260" t="s">
        <v>83</v>
      </c>
      <c r="E8" s="260" t="s">
        <v>297</v>
      </c>
      <c r="F8" s="260" t="s">
        <v>287</v>
      </c>
      <c r="G8" s="260" t="s">
        <v>29</v>
      </c>
      <c r="H8" s="261" t="s">
        <v>30</v>
      </c>
      <c r="I8" s="260" t="s">
        <v>31</v>
      </c>
      <c r="J8" s="261" t="s">
        <v>37</v>
      </c>
      <c r="K8" s="262"/>
      <c r="L8" s="263"/>
      <c r="O8" s="255" t="s">
        <v>119</v>
      </c>
    </row>
    <row r="9" spans="1:16">
      <c r="A9" s="255"/>
      <c r="B9" s="259">
        <v>1</v>
      </c>
      <c r="C9" s="264"/>
      <c r="D9" s="264"/>
      <c r="E9" s="448"/>
      <c r="F9" s="447" t="str">
        <f>IF(D9=C9,"n/a",1-E9/((D9-C9)*24*'1'!$E$42))</f>
        <v>n/a</v>
      </c>
      <c r="G9" s="265"/>
      <c r="H9" s="266"/>
      <c r="I9" s="265"/>
      <c r="J9" s="266"/>
      <c r="O9" s="255" t="s">
        <v>36</v>
      </c>
      <c r="P9" s="255" t="s">
        <v>32</v>
      </c>
    </row>
    <row r="10" spans="1:16">
      <c r="A10" s="255" t="s">
        <v>268</v>
      </c>
      <c r="B10" s="259">
        <v>2</v>
      </c>
      <c r="C10" s="264"/>
      <c r="D10" s="264"/>
      <c r="E10" s="448"/>
      <c r="F10" s="447" t="str">
        <f>IF(D10=C10,"n/a",1-E10/((D10-C10)*24*'1'!$E$42))</f>
        <v>n/a</v>
      </c>
      <c r="G10" s="267"/>
      <c r="H10" s="266"/>
      <c r="I10" s="265"/>
      <c r="J10" s="266"/>
      <c r="O10" s="255" t="s">
        <v>34</v>
      </c>
      <c r="P10" s="255" t="s">
        <v>35</v>
      </c>
    </row>
    <row r="11" spans="1:16">
      <c r="A11" s="379" t="s">
        <v>269</v>
      </c>
      <c r="B11" s="259">
        <v>3</v>
      </c>
      <c r="C11" s="265"/>
      <c r="D11" s="265"/>
      <c r="E11" s="448"/>
      <c r="F11" s="447" t="str">
        <f>IF(D11=C11,"n/a",1-E11/((D11-C11)*24*'1'!$E$42))</f>
        <v>n/a</v>
      </c>
      <c r="G11" s="267"/>
      <c r="H11" s="266"/>
      <c r="I11" s="265"/>
      <c r="J11" s="266"/>
      <c r="O11" s="255" t="s">
        <v>120</v>
      </c>
    </row>
    <row r="12" spans="1:16">
      <c r="A12" s="414"/>
      <c r="B12" s="259">
        <v>4</v>
      </c>
      <c r="C12" s="265"/>
      <c r="D12" s="265"/>
      <c r="E12" s="448"/>
      <c r="F12" s="447" t="str">
        <f>IF(D12=C12,"n/a",1-E12/((D12-C12)*24*'1'!$E$42))</f>
        <v>n/a</v>
      </c>
      <c r="G12" s="267"/>
      <c r="H12" s="266"/>
      <c r="I12" s="265"/>
      <c r="J12" s="266"/>
    </row>
    <row r="13" spans="1:16">
      <c r="A13" s="415" t="b">
        <v>0</v>
      </c>
      <c r="B13" s="259">
        <v>5</v>
      </c>
      <c r="C13" s="265"/>
      <c r="D13" s="265"/>
      <c r="E13" s="448"/>
      <c r="F13" s="447" t="str">
        <f>IF(D13=C13,"n/a",1-E13/((D13-C13)*24*'1'!$E$42))</f>
        <v>n/a</v>
      </c>
      <c r="G13" s="267"/>
      <c r="H13" s="266"/>
      <c r="I13" s="265"/>
      <c r="J13" s="266"/>
    </row>
    <row r="14" spans="1:16">
      <c r="B14" s="259">
        <v>6</v>
      </c>
      <c r="C14" s="265"/>
      <c r="D14" s="265"/>
      <c r="E14" s="448"/>
      <c r="F14" s="447" t="str">
        <f>IF(D14=C14,"n/a",1-E14/((D14-C14)*24*'1'!$E$42))</f>
        <v>n/a</v>
      </c>
      <c r="G14" s="267"/>
      <c r="H14" s="266"/>
      <c r="I14" s="265"/>
      <c r="J14" s="266"/>
    </row>
    <row r="15" spans="1:16">
      <c r="B15" s="259">
        <v>7</v>
      </c>
      <c r="C15" s="265"/>
      <c r="D15" s="265"/>
      <c r="E15" s="448"/>
      <c r="F15" s="447" t="str">
        <f>IF(D15=C15,"n/a",1-E15/((D15-C15)*24*'1'!$E$42))</f>
        <v>n/a</v>
      </c>
      <c r="G15" s="267"/>
      <c r="H15" s="266"/>
      <c r="I15" s="265"/>
      <c r="J15" s="266"/>
    </row>
    <row r="16" spans="1:16">
      <c r="A16" s="420"/>
      <c r="B16" s="259">
        <v>8</v>
      </c>
      <c r="C16" s="265"/>
      <c r="D16" s="265"/>
      <c r="E16" s="448"/>
      <c r="F16" s="447" t="str">
        <f>IF(D16=C16,"n/a",1-E16/((D16-C16)*24*'1'!$E$42))</f>
        <v>n/a</v>
      </c>
      <c r="G16" s="267"/>
      <c r="H16" s="266"/>
      <c r="I16" s="265"/>
      <c r="J16" s="266"/>
    </row>
    <row r="17" spans="2:10">
      <c r="B17" s="259">
        <v>9</v>
      </c>
      <c r="C17" s="265"/>
      <c r="D17" s="265"/>
      <c r="E17" s="448"/>
      <c r="F17" s="447" t="str">
        <f>IF(D17=C17,"n/a",1-E17/((D17-C17)*24*'1'!$E$42))</f>
        <v>n/a</v>
      </c>
      <c r="G17" s="267"/>
      <c r="H17" s="266"/>
      <c r="I17" s="265"/>
      <c r="J17" s="266"/>
    </row>
    <row r="18" spans="2:10">
      <c r="B18" s="259">
        <v>10</v>
      </c>
      <c r="C18" s="265"/>
      <c r="D18" s="265"/>
      <c r="E18" s="448"/>
      <c r="F18" s="447" t="str">
        <f>IF(D18=C18,"n/a",1-E18/((D18-C18)*24*'1'!$E$42))</f>
        <v>n/a</v>
      </c>
      <c r="G18" s="267"/>
      <c r="H18" s="266"/>
      <c r="I18" s="265"/>
      <c r="J18" s="266"/>
    </row>
    <row r="19" spans="2:10">
      <c r="B19" s="259">
        <v>11</v>
      </c>
      <c r="C19" s="265"/>
      <c r="D19" s="265"/>
      <c r="E19" s="448"/>
      <c r="F19" s="447" t="str">
        <f>IF(D19=C19,"n/a",1-E19/((D19-C19)*24*'1'!$E$42))</f>
        <v>n/a</v>
      </c>
      <c r="G19" s="267"/>
      <c r="H19" s="266"/>
      <c r="I19" s="265"/>
      <c r="J19" s="266"/>
    </row>
    <row r="20" spans="2:10">
      <c r="B20" s="259">
        <v>12</v>
      </c>
      <c r="C20" s="265"/>
      <c r="D20" s="265"/>
      <c r="E20" s="448"/>
      <c r="F20" s="447" t="str">
        <f>IF(D20=C20,"n/a",1-E20/((D20-C20)*24*'1'!$E$42))</f>
        <v>n/a</v>
      </c>
      <c r="G20" s="267"/>
      <c r="H20" s="266"/>
      <c r="I20" s="265"/>
      <c r="J20" s="266"/>
    </row>
    <row r="21" spans="2:10">
      <c r="B21" s="259">
        <v>13</v>
      </c>
      <c r="C21" s="265"/>
      <c r="D21" s="265"/>
      <c r="E21" s="448"/>
      <c r="F21" s="447" t="str">
        <f>IF(D21=C21,"n/a",1-E21/((D21-C21)*24*'1'!$E$42))</f>
        <v>n/a</v>
      </c>
      <c r="G21" s="267"/>
      <c r="H21" s="266"/>
      <c r="I21" s="265"/>
      <c r="J21" s="266"/>
    </row>
    <row r="22" spans="2:10">
      <c r="B22" s="259">
        <v>14</v>
      </c>
      <c r="C22" s="265"/>
      <c r="D22" s="265"/>
      <c r="E22" s="448"/>
      <c r="F22" s="447" t="str">
        <f>IF(D22=C22,"n/a",1-E22/((D22-C22)*24*'1'!$E$42))</f>
        <v>n/a</v>
      </c>
      <c r="G22" s="267"/>
      <c r="H22" s="266"/>
      <c r="I22" s="265"/>
      <c r="J22" s="266"/>
    </row>
    <row r="23" spans="2:10">
      <c r="B23" s="259">
        <v>15</v>
      </c>
      <c r="C23" s="265"/>
      <c r="D23" s="265"/>
      <c r="E23" s="448"/>
      <c r="F23" s="447" t="str">
        <f>IF(D23=C23,"n/a",1-E23/((D23-C23)*24*'1'!$E$42))</f>
        <v>n/a</v>
      </c>
      <c r="G23" s="267"/>
      <c r="H23" s="266"/>
      <c r="I23" s="265"/>
      <c r="J23" s="266"/>
    </row>
    <row r="24" spans="2:10">
      <c r="B24" s="259">
        <v>16</v>
      </c>
      <c r="C24" s="265"/>
      <c r="D24" s="265"/>
      <c r="E24" s="448"/>
      <c r="F24" s="447" t="str">
        <f>IF(D24=C24,"n/a",1-E24/((D24-C24)*24*'1'!$E$42))</f>
        <v>n/a</v>
      </c>
      <c r="G24" s="267"/>
      <c r="H24" s="266"/>
      <c r="I24" s="265"/>
      <c r="J24" s="266"/>
    </row>
    <row r="25" spans="2:10">
      <c r="B25" s="259">
        <v>17</v>
      </c>
      <c r="C25" s="265"/>
      <c r="D25" s="265"/>
      <c r="E25" s="448"/>
      <c r="F25" s="447" t="str">
        <f>IF(D25=C25,"n/a",1-E25/((D25-C25)*24*'1'!$E$42))</f>
        <v>n/a</v>
      </c>
      <c r="G25" s="267"/>
      <c r="H25" s="266"/>
      <c r="I25" s="265"/>
      <c r="J25" s="266"/>
    </row>
    <row r="26" spans="2:10">
      <c r="B26" s="259">
        <v>18</v>
      </c>
      <c r="C26" s="265"/>
      <c r="D26" s="265"/>
      <c r="E26" s="448"/>
      <c r="F26" s="447" t="str">
        <f>IF(D26=C26,"n/a",1-E26/((D26-C26)*24*'1'!$E$42))</f>
        <v>n/a</v>
      </c>
      <c r="G26" s="267"/>
      <c r="H26" s="266"/>
      <c r="I26" s="265"/>
      <c r="J26" s="266"/>
    </row>
    <row r="27" spans="2:10">
      <c r="B27" s="259">
        <v>19</v>
      </c>
      <c r="C27" s="265"/>
      <c r="D27" s="265"/>
      <c r="E27" s="448"/>
      <c r="F27" s="447" t="str">
        <f>IF(D27=C27,"n/a",1-E27/((D27-C27)*24*'1'!$E$42))</f>
        <v>n/a</v>
      </c>
      <c r="G27" s="267"/>
      <c r="H27" s="266"/>
      <c r="I27" s="265"/>
      <c r="J27" s="266"/>
    </row>
    <row r="28" spans="2:10">
      <c r="B28" s="259">
        <v>20</v>
      </c>
      <c r="C28" s="265"/>
      <c r="D28" s="265"/>
      <c r="E28" s="448"/>
      <c r="F28" s="447" t="str">
        <f>IF(D28=C28,"n/a",1-E28/((D28-C28)*24*'1'!$E$42))</f>
        <v>n/a</v>
      </c>
      <c r="G28" s="267"/>
      <c r="H28" s="266"/>
      <c r="I28" s="265"/>
      <c r="J28" s="266"/>
    </row>
    <row r="29" spans="2:10">
      <c r="B29" s="259">
        <v>21</v>
      </c>
      <c r="C29" s="265"/>
      <c r="D29" s="265"/>
      <c r="E29" s="448"/>
      <c r="F29" s="447" t="str">
        <f>IF(D29=C29,"n/a",1-E29/((D29-C29)*24*'1'!$E$42))</f>
        <v>n/a</v>
      </c>
      <c r="G29" s="267"/>
      <c r="H29" s="266"/>
      <c r="I29" s="265"/>
      <c r="J29" s="266"/>
    </row>
    <row r="30" spans="2:10">
      <c r="B30" s="259">
        <v>22</v>
      </c>
      <c r="C30" s="265"/>
      <c r="D30" s="265"/>
      <c r="E30" s="448"/>
      <c r="F30" s="447" t="str">
        <f>IF(D30=C30,"n/a",1-E30/((D30-C30)*24*'1'!$E$42))</f>
        <v>n/a</v>
      </c>
      <c r="G30" s="267"/>
      <c r="H30" s="266"/>
      <c r="I30" s="265"/>
      <c r="J30" s="266"/>
    </row>
    <row r="31" spans="2:10">
      <c r="B31" s="259">
        <v>23</v>
      </c>
      <c r="C31" s="265"/>
      <c r="D31" s="265"/>
      <c r="E31" s="448"/>
      <c r="F31" s="447" t="str">
        <f>IF(D31=C31,"n/a",1-E31/((D31-C31)*24*'1'!$E$42))</f>
        <v>n/a</v>
      </c>
      <c r="G31" s="267"/>
      <c r="H31" s="266"/>
      <c r="I31" s="265"/>
      <c r="J31" s="266"/>
    </row>
    <row r="32" spans="2:10">
      <c r="B32" s="259">
        <v>24</v>
      </c>
      <c r="C32" s="265"/>
      <c r="D32" s="265"/>
      <c r="E32" s="448"/>
      <c r="F32" s="447" t="str">
        <f>IF(D32=C32,"n/a",1-E32/((D32-C32)*24*'1'!$E$42))</f>
        <v>n/a</v>
      </c>
      <c r="G32" s="267"/>
      <c r="H32" s="266"/>
      <c r="I32" s="265"/>
      <c r="J32" s="266"/>
    </row>
    <row r="33" spans="2:10">
      <c r="B33" s="259">
        <v>25</v>
      </c>
      <c r="C33" s="265"/>
      <c r="D33" s="265"/>
      <c r="E33" s="448"/>
      <c r="F33" s="447" t="str">
        <f>IF(D33=C33,"n/a",1-E33/((D33-C33)*24*'1'!$E$42))</f>
        <v>n/a</v>
      </c>
      <c r="G33" s="267"/>
      <c r="H33" s="266"/>
      <c r="I33" s="265"/>
      <c r="J33" s="266"/>
    </row>
    <row r="34" spans="2:10">
      <c r="B34" s="259">
        <v>26</v>
      </c>
      <c r="C34" s="265"/>
      <c r="D34" s="265"/>
      <c r="E34" s="448"/>
      <c r="F34" s="447" t="str">
        <f>IF(D34=C34,"n/a",1-E34/((D34-C34)*24*'1'!$E$42))</f>
        <v>n/a</v>
      </c>
      <c r="G34" s="267"/>
      <c r="H34" s="266"/>
      <c r="I34" s="265"/>
      <c r="J34" s="266"/>
    </row>
    <row r="35" spans="2:10">
      <c r="B35" s="259">
        <v>27</v>
      </c>
      <c r="C35" s="265"/>
      <c r="D35" s="265"/>
      <c r="E35" s="448"/>
      <c r="F35" s="447" t="str">
        <f>IF(D35=C35,"n/a",1-E35/((D35-C35)*24*'1'!$E$42))</f>
        <v>n/a</v>
      </c>
      <c r="G35" s="267"/>
      <c r="H35" s="266"/>
      <c r="I35" s="265"/>
      <c r="J35" s="266"/>
    </row>
    <row r="36" spans="2:10">
      <c r="B36" s="259">
        <v>28</v>
      </c>
      <c r="C36" s="265"/>
      <c r="D36" s="265"/>
      <c r="E36" s="448"/>
      <c r="F36" s="447" t="str">
        <f>IF(D36=C36,"n/a",1-E36/((D36-C36)*24*'1'!$E$42))</f>
        <v>n/a</v>
      </c>
      <c r="G36" s="267"/>
      <c r="H36" s="266"/>
      <c r="I36" s="265"/>
      <c r="J36" s="266"/>
    </row>
    <row r="37" spans="2:10">
      <c r="B37" s="259">
        <v>29</v>
      </c>
      <c r="C37" s="265"/>
      <c r="D37" s="265"/>
      <c r="E37" s="448"/>
      <c r="F37" s="447" t="str">
        <f>IF(D37=C37,"n/a",1-E37/((D37-C37)*24*'1'!$E$42))</f>
        <v>n/a</v>
      </c>
      <c r="G37" s="267"/>
      <c r="H37" s="266"/>
      <c r="I37" s="265"/>
      <c r="J37" s="266"/>
    </row>
    <row r="38" spans="2:10">
      <c r="B38" s="259">
        <v>30</v>
      </c>
      <c r="C38" s="265"/>
      <c r="D38" s="265"/>
      <c r="E38" s="448"/>
      <c r="F38" s="447" t="str">
        <f>IF(D38=C38,"n/a",1-E38/((D38-C38)*24*'1'!$E$42))</f>
        <v>n/a</v>
      </c>
      <c r="G38" s="267"/>
      <c r="H38" s="266"/>
      <c r="I38" s="265"/>
      <c r="J38" s="266"/>
    </row>
    <row r="39" spans="2:10">
      <c r="B39" s="259">
        <v>31</v>
      </c>
      <c r="C39" s="265"/>
      <c r="D39" s="265"/>
      <c r="E39" s="448"/>
      <c r="F39" s="447" t="str">
        <f>IF(D39=C39,"n/a",1-E39/((D39-C39)*24*'1'!$E$42))</f>
        <v>n/a</v>
      </c>
      <c r="G39" s="267"/>
      <c r="H39" s="266"/>
      <c r="I39" s="265"/>
      <c r="J39" s="266"/>
    </row>
    <row r="40" spans="2:10">
      <c r="B40" s="259">
        <v>32</v>
      </c>
      <c r="C40" s="265"/>
      <c r="D40" s="265"/>
      <c r="E40" s="448"/>
      <c r="F40" s="447" t="str">
        <f>IF(D40=C40,"n/a",1-E40/((D40-C40)*24*'1'!$E$42))</f>
        <v>n/a</v>
      </c>
      <c r="G40" s="267"/>
      <c r="H40" s="266"/>
      <c r="I40" s="265"/>
      <c r="J40" s="266"/>
    </row>
    <row r="41" spans="2:10">
      <c r="B41" s="259">
        <v>33</v>
      </c>
      <c r="C41" s="265"/>
      <c r="D41" s="265"/>
      <c r="E41" s="448"/>
      <c r="F41" s="447" t="str">
        <f>IF(D41=C41,"n/a",1-E41/((D41-C41)*24*'1'!$E$42))</f>
        <v>n/a</v>
      </c>
      <c r="G41" s="267"/>
      <c r="H41" s="266"/>
      <c r="I41" s="265"/>
      <c r="J41" s="266"/>
    </row>
    <row r="42" spans="2:10">
      <c r="B42" s="259">
        <v>34</v>
      </c>
      <c r="C42" s="265"/>
      <c r="D42" s="265"/>
      <c r="E42" s="448"/>
      <c r="F42" s="447" t="str">
        <f>IF(D42=C42,"n/a",1-E42/((D42-C42)*24*'1'!$E$42))</f>
        <v>n/a</v>
      </c>
      <c r="G42" s="267"/>
      <c r="H42" s="266"/>
      <c r="I42" s="265"/>
      <c r="J42" s="266"/>
    </row>
    <row r="43" spans="2:10">
      <c r="B43" s="259">
        <v>35</v>
      </c>
      <c r="C43" s="265"/>
      <c r="D43" s="265"/>
      <c r="E43" s="448"/>
      <c r="F43" s="447" t="str">
        <f>IF(D43=C43,"n/a",1-E43/((D43-C43)*24*'1'!$E$42))</f>
        <v>n/a</v>
      </c>
      <c r="G43" s="267"/>
      <c r="H43" s="266"/>
      <c r="I43" s="265"/>
      <c r="J43" s="266"/>
    </row>
    <row r="44" spans="2:10">
      <c r="B44" s="259">
        <v>36</v>
      </c>
      <c r="C44" s="265"/>
      <c r="D44" s="265"/>
      <c r="E44" s="448"/>
      <c r="F44" s="447" t="str">
        <f>IF(D44=C44,"n/a",1-E44/((D44-C44)*24*'1'!$E$42))</f>
        <v>n/a</v>
      </c>
      <c r="G44" s="267"/>
      <c r="H44" s="266"/>
      <c r="I44" s="265"/>
      <c r="J44" s="266"/>
    </row>
    <row r="45" spans="2:10">
      <c r="B45" s="259">
        <v>37</v>
      </c>
      <c r="C45" s="265"/>
      <c r="D45" s="265"/>
      <c r="E45" s="448"/>
      <c r="F45" s="447" t="str">
        <f>IF(D45=C45,"n/a",1-E45/((D45-C45)*24*'1'!$E$42))</f>
        <v>n/a</v>
      </c>
      <c r="G45" s="267"/>
      <c r="H45" s="266"/>
      <c r="I45" s="265"/>
      <c r="J45" s="266"/>
    </row>
    <row r="46" spans="2:10">
      <c r="B46" s="259">
        <v>38</v>
      </c>
      <c r="C46" s="265"/>
      <c r="D46" s="265"/>
      <c r="E46" s="448"/>
      <c r="F46" s="447" t="str">
        <f>IF(D46=C46,"n/a",1-E46/((D46-C46)*24*'1'!$E$42))</f>
        <v>n/a</v>
      </c>
      <c r="G46" s="267"/>
      <c r="H46" s="266"/>
      <c r="I46" s="265"/>
      <c r="J46" s="266"/>
    </row>
    <row r="47" spans="2:10">
      <c r="B47" s="259">
        <v>39</v>
      </c>
      <c r="C47" s="265"/>
      <c r="D47" s="265"/>
      <c r="E47" s="448"/>
      <c r="F47" s="447" t="str">
        <f>IF(D47=C47,"n/a",1-E47/((D47-C47)*24*'1'!$E$42))</f>
        <v>n/a</v>
      </c>
      <c r="G47" s="267"/>
      <c r="H47" s="266"/>
      <c r="I47" s="265"/>
      <c r="J47" s="266"/>
    </row>
    <row r="48" spans="2:10">
      <c r="B48" s="259">
        <v>40</v>
      </c>
      <c r="C48" s="265"/>
      <c r="D48" s="265"/>
      <c r="E48" s="448"/>
      <c r="F48" s="447" t="str">
        <f>IF(D48=C48,"n/a",1-E48/((D48-C48)*24*'1'!$E$42))</f>
        <v>n/a</v>
      </c>
      <c r="G48" s="267"/>
      <c r="H48" s="266"/>
      <c r="I48" s="265"/>
      <c r="J48" s="266"/>
    </row>
    <row r="49" spans="2:10">
      <c r="B49" s="259">
        <v>41</v>
      </c>
      <c r="C49" s="265"/>
      <c r="D49" s="265"/>
      <c r="E49" s="448"/>
      <c r="F49" s="447" t="str">
        <f>IF(D49=C49,"n/a",1-E49/((D49-C49)*24*'1'!$E$42))</f>
        <v>n/a</v>
      </c>
      <c r="G49" s="267"/>
      <c r="H49" s="266"/>
      <c r="I49" s="265"/>
      <c r="J49" s="266"/>
    </row>
    <row r="50" spans="2:10">
      <c r="B50" s="259">
        <v>42</v>
      </c>
      <c r="C50" s="265"/>
      <c r="D50" s="265"/>
      <c r="E50" s="448"/>
      <c r="F50" s="447" t="str">
        <f>IF(D50=C50,"n/a",1-E50/((D50-C50)*24*'1'!$E$42))</f>
        <v>n/a</v>
      </c>
      <c r="G50" s="267"/>
      <c r="H50" s="266"/>
      <c r="I50" s="265"/>
      <c r="J50" s="266"/>
    </row>
    <row r="51" spans="2:10">
      <c r="B51" s="259">
        <v>43</v>
      </c>
      <c r="C51" s="265"/>
      <c r="D51" s="265"/>
      <c r="E51" s="448"/>
      <c r="F51" s="447" t="str">
        <f>IF(D51=C51,"n/a",1-E51/((D51-C51)*24*'1'!$E$42))</f>
        <v>n/a</v>
      </c>
      <c r="G51" s="267"/>
      <c r="H51" s="266"/>
      <c r="I51" s="265"/>
      <c r="J51" s="266"/>
    </row>
    <row r="52" spans="2:10">
      <c r="B52" s="259">
        <v>44</v>
      </c>
      <c r="C52" s="265"/>
      <c r="D52" s="265"/>
      <c r="E52" s="448"/>
      <c r="F52" s="447" t="str">
        <f>IF(D52=C52,"n/a",1-E52/((D52-C52)*24*'1'!$E$42))</f>
        <v>n/a</v>
      </c>
      <c r="G52" s="267"/>
      <c r="H52" s="266"/>
      <c r="I52" s="265"/>
      <c r="J52" s="266"/>
    </row>
    <row r="53" spans="2:10">
      <c r="B53" s="259">
        <v>45</v>
      </c>
      <c r="C53" s="265"/>
      <c r="D53" s="265"/>
      <c r="E53" s="448"/>
      <c r="F53" s="447" t="str">
        <f>IF(D53=C53,"n/a",1-E53/((D53-C53)*24*'1'!$E$42))</f>
        <v>n/a</v>
      </c>
      <c r="G53" s="267"/>
      <c r="H53" s="266"/>
      <c r="I53" s="265"/>
      <c r="J53" s="266"/>
    </row>
    <row r="54" spans="2:10">
      <c r="B54" s="259">
        <v>46</v>
      </c>
      <c r="C54" s="265"/>
      <c r="D54" s="265"/>
      <c r="E54" s="448"/>
      <c r="F54" s="447" t="str">
        <f>IF(D54=C54,"n/a",1-E54/((D54-C54)*24*'1'!$E$42))</f>
        <v>n/a</v>
      </c>
      <c r="G54" s="267"/>
      <c r="H54" s="266"/>
      <c r="I54" s="265"/>
      <c r="J54" s="266"/>
    </row>
    <row r="55" spans="2:10">
      <c r="B55" s="259">
        <v>47</v>
      </c>
      <c r="C55" s="265"/>
      <c r="D55" s="265"/>
      <c r="E55" s="448"/>
      <c r="F55" s="447" t="str">
        <f>IF(D55=C55,"n/a",1-E55/((D55-C55)*24*'1'!$E$42))</f>
        <v>n/a</v>
      </c>
      <c r="G55" s="267"/>
      <c r="H55" s="266"/>
      <c r="I55" s="265"/>
      <c r="J55" s="266"/>
    </row>
    <row r="56" spans="2:10">
      <c r="B56" s="259">
        <v>48</v>
      </c>
      <c r="C56" s="265"/>
      <c r="D56" s="265"/>
      <c r="E56" s="448"/>
      <c r="F56" s="447" t="str">
        <f>IF(D56=C56,"n/a",1-E56/((D56-C56)*24*'1'!$E$42))</f>
        <v>n/a</v>
      </c>
      <c r="G56" s="267"/>
      <c r="H56" s="266"/>
      <c r="I56" s="265"/>
      <c r="J56" s="266"/>
    </row>
    <row r="57" spans="2:10">
      <c r="B57" s="259">
        <v>49</v>
      </c>
      <c r="C57" s="265"/>
      <c r="D57" s="265"/>
      <c r="E57" s="448"/>
      <c r="F57" s="447" t="str">
        <f>IF(D57=C57,"n/a",1-E57/((D57-C57)*24*'1'!$E$42))</f>
        <v>n/a</v>
      </c>
      <c r="G57" s="267"/>
      <c r="H57" s="266"/>
      <c r="I57" s="265"/>
      <c r="J57" s="266"/>
    </row>
    <row r="58" spans="2:10">
      <c r="B58" s="259">
        <v>50</v>
      </c>
      <c r="C58" s="265"/>
      <c r="D58" s="265"/>
      <c r="E58" s="448"/>
      <c r="F58" s="476" t="str">
        <f>IF(D58=C58,"n/a",1-E58/((D58-C58)*24*'1'!$E$42))</f>
        <v>n/a</v>
      </c>
      <c r="G58" s="267"/>
      <c r="H58" s="266"/>
      <c r="I58" s="265"/>
      <c r="J58" s="266"/>
    </row>
    <row r="59" spans="2:10"/>
    <row r="60" spans="2:10" hidden="1"/>
    <row r="61" spans="2:10" hidden="1"/>
    <row r="62" spans="2:10" hidden="1"/>
    <row r="63" spans="2:10" hidden="1"/>
    <row r="64" spans="2:10"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sheetData>
  <sheetProtection sheet="1" objects="1" scenarios="1"/>
  <autoFilter ref="B8:J8"/>
  <conditionalFormatting sqref="A8 A11">
    <cfRule type="cellIs" dxfId="11" priority="3" operator="equal">
      <formula>"O"</formula>
    </cfRule>
    <cfRule type="cellIs" dxfId="10" priority="4" operator="equal">
      <formula>"P"</formula>
    </cfRule>
  </conditionalFormatting>
  <dataValidations count="1">
    <dataValidation type="list" allowBlank="1" showInputMessage="1" showErrorMessage="1" sqref="J9:J58 H9:H58">
      <formula1>$O$9:$O$11</formula1>
    </dataValidation>
  </dataValidations>
  <hyperlinks>
    <hyperlink ref="A5" location="'Sign off'!A1" display="Index"/>
  </hyperlinks>
  <printOptions horizontalCentered="1" headings="1"/>
  <pageMargins left="0" right="0" top="0" bottom="0.35433070866141736" header="0" footer="0"/>
  <pageSetup paperSize="8" scale="96" orientation="landscape" r:id="rId1"/>
  <headerFooter>
    <oddFooter>&amp;L&amp;Z&amp;F&amp;A&amp;P&amp;C&amp;P&amp;R&amp;D</oddFooter>
  </headerFooter>
  <drawing r:id="rId2"/>
  <legacyDrawing r:id="rId3"/>
</worksheet>
</file>

<file path=xl/worksheets/sheet18.xml><?xml version="1.0" encoding="utf-8"?>
<worksheet xmlns="http://schemas.openxmlformats.org/spreadsheetml/2006/main" xmlns:r="http://schemas.openxmlformats.org/officeDocument/2006/relationships">
  <sheetPr codeName="Sheet19">
    <pageSetUpPr fitToPage="1"/>
  </sheetPr>
  <dimension ref="A1:Q275"/>
  <sheetViews>
    <sheetView zoomScale="90" zoomScaleNormal="90" workbookViewId="0"/>
  </sheetViews>
  <sheetFormatPr defaultColWidth="0" defaultRowHeight="12.75" zeroHeight="1"/>
  <cols>
    <col min="1" max="1" width="20.6640625" style="43" customWidth="1"/>
    <col min="2" max="2" width="3.5" style="255" bestFit="1" customWidth="1"/>
    <col min="3" max="3" width="21.33203125" style="255" bestFit="1" customWidth="1"/>
    <col min="4" max="4" width="21.33203125" style="255" customWidth="1"/>
    <col min="5" max="5" width="20.83203125" style="255" customWidth="1"/>
    <col min="6" max="6" width="22.1640625" style="255" customWidth="1"/>
    <col min="7" max="7" width="31.5" style="255" bestFit="1" customWidth="1"/>
    <col min="8" max="8" width="14" style="255" bestFit="1" customWidth="1"/>
    <col min="9" max="9" width="37.6640625" style="255" bestFit="1" customWidth="1"/>
    <col min="10" max="10" width="16.6640625" style="255" bestFit="1" customWidth="1"/>
    <col min="11" max="11" width="9.33203125" style="255" customWidth="1"/>
    <col min="12" max="14" width="9.33203125" style="255" hidden="1" customWidth="1"/>
    <col min="15" max="15" width="12.5" style="255" hidden="1" customWidth="1"/>
    <col min="16" max="16" width="11.33203125" style="255" hidden="1" customWidth="1"/>
    <col min="17" max="17" width="0" style="255" hidden="1" customWidth="1"/>
    <col min="18" max="16384" width="9.33203125" style="255" hidden="1"/>
  </cols>
  <sheetData>
    <row r="1" spans="1:16" s="356" customFormat="1" ht="27.75" customHeight="1">
      <c r="D1" s="357" t="s">
        <v>185</v>
      </c>
    </row>
    <row r="2" spans="1:16" s="356" customFormat="1" ht="18" customHeight="1">
      <c r="D2" s="356" t="s">
        <v>169</v>
      </c>
      <c r="E2" s="358" t="str">
        <f>'Universal data'!$D$11</f>
        <v>Demo sands</v>
      </c>
    </row>
    <row r="3" spans="1:16" s="356" customFormat="1" ht="18" customHeight="1">
      <c r="D3" s="356" t="s">
        <v>170</v>
      </c>
      <c r="E3" s="358" t="str">
        <f>'Universal data'!$D$9</f>
        <v>[Offshore transmission operator 1]</v>
      </c>
      <c r="G3" s="360"/>
      <c r="H3" s="360"/>
      <c r="K3" s="360"/>
    </row>
    <row r="4" spans="1:16" s="356" customFormat="1" ht="18" customHeight="1">
      <c r="D4" s="356" t="s">
        <v>171</v>
      </c>
      <c r="E4" s="358" t="str">
        <f>'Universal data'!$D$12-1&amp;"-"&amp;'Universal data'!$D$12-2000</f>
        <v>2012-13</v>
      </c>
      <c r="G4" s="360"/>
      <c r="H4" s="360"/>
      <c r="K4" s="360"/>
    </row>
    <row r="5" spans="1:16">
      <c r="A5" s="26" t="s">
        <v>251</v>
      </c>
    </row>
    <row r="6" spans="1:16" ht="18">
      <c r="A6" s="255"/>
      <c r="B6" s="258" t="s">
        <v>246</v>
      </c>
    </row>
    <row r="7" spans="1:16">
      <c r="A7" s="255" t="s">
        <v>266</v>
      </c>
    </row>
    <row r="8" spans="1:16" ht="38.25" customHeight="1">
      <c r="A8" s="379" t="s">
        <v>267</v>
      </c>
      <c r="B8" s="259"/>
      <c r="C8" s="260" t="s">
        <v>28</v>
      </c>
      <c r="D8" s="260" t="s">
        <v>83</v>
      </c>
      <c r="E8" s="260" t="s">
        <v>297</v>
      </c>
      <c r="F8" s="260" t="s">
        <v>287</v>
      </c>
      <c r="G8" s="260" t="s">
        <v>29</v>
      </c>
      <c r="H8" s="260" t="s">
        <v>30</v>
      </c>
      <c r="I8" s="260" t="s">
        <v>31</v>
      </c>
      <c r="J8" s="260" t="s">
        <v>37</v>
      </c>
      <c r="K8" s="262"/>
      <c r="L8" s="268"/>
      <c r="O8" s="255" t="s">
        <v>119</v>
      </c>
    </row>
    <row r="9" spans="1:16">
      <c r="A9" s="255"/>
      <c r="B9" s="259">
        <v>1</v>
      </c>
      <c r="C9" s="264"/>
      <c r="D9" s="264"/>
      <c r="E9" s="448"/>
      <c r="F9" s="447" t="str">
        <f>IF(D9=C9,"n/a",1-E9/((D9-C9)*24*'1'!$E$42))</f>
        <v>n/a</v>
      </c>
      <c r="G9" s="265"/>
      <c r="H9" s="265"/>
      <c r="I9" s="265"/>
      <c r="J9" s="265"/>
      <c r="O9" s="255" t="s">
        <v>36</v>
      </c>
      <c r="P9" s="255" t="s">
        <v>32</v>
      </c>
    </row>
    <row r="10" spans="1:16">
      <c r="A10" s="255" t="s">
        <v>268</v>
      </c>
      <c r="B10" s="259">
        <v>2</v>
      </c>
      <c r="C10" s="264"/>
      <c r="D10" s="264"/>
      <c r="E10" s="448"/>
      <c r="F10" s="447" t="str">
        <f>IF(D10=C10,"n/a",1-E10/((D10-C10)*24*'1'!$E$42))</f>
        <v>n/a</v>
      </c>
      <c r="G10" s="265"/>
      <c r="H10" s="265"/>
      <c r="I10" s="265"/>
      <c r="J10" s="265"/>
      <c r="O10" s="255" t="s">
        <v>34</v>
      </c>
      <c r="P10" s="255" t="s">
        <v>35</v>
      </c>
    </row>
    <row r="11" spans="1:16">
      <c r="A11" s="379" t="s">
        <v>269</v>
      </c>
      <c r="B11" s="259">
        <v>3</v>
      </c>
      <c r="C11" s="265"/>
      <c r="D11" s="265"/>
      <c r="E11" s="448"/>
      <c r="F11" s="447" t="str">
        <f>IF(D11=C11,"n/a",1-E11/((D11-C11)*24*'1'!$E$42))</f>
        <v>n/a</v>
      </c>
      <c r="G11" s="265"/>
      <c r="H11" s="265"/>
      <c r="I11" s="265"/>
      <c r="J11" s="265"/>
      <c r="O11" s="255" t="s">
        <v>120</v>
      </c>
    </row>
    <row r="12" spans="1:16">
      <c r="A12" s="414"/>
      <c r="B12" s="259">
        <v>4</v>
      </c>
      <c r="C12" s="265"/>
      <c r="D12" s="265"/>
      <c r="E12" s="448"/>
      <c r="F12" s="447" t="str">
        <f>IF(D12=C12,"n/a",1-E12/((D12-C12)*24*'1'!$E$42))</f>
        <v>n/a</v>
      </c>
      <c r="G12" s="265"/>
      <c r="H12" s="265"/>
      <c r="I12" s="265"/>
      <c r="J12" s="265"/>
    </row>
    <row r="13" spans="1:16">
      <c r="A13" s="415" t="b">
        <v>0</v>
      </c>
      <c r="B13" s="259">
        <v>5</v>
      </c>
      <c r="C13" s="265"/>
      <c r="D13" s="265"/>
      <c r="E13" s="448"/>
      <c r="F13" s="447" t="str">
        <f>IF(D13=C13,"n/a",1-E13/((D13-C13)*24*'1'!$E$42))</f>
        <v>n/a</v>
      </c>
      <c r="G13" s="265"/>
      <c r="H13" s="265"/>
      <c r="I13" s="265"/>
      <c r="J13" s="265"/>
    </row>
    <row r="14" spans="1:16">
      <c r="B14" s="259">
        <v>6</v>
      </c>
      <c r="C14" s="265"/>
      <c r="D14" s="265"/>
      <c r="E14" s="448"/>
      <c r="F14" s="447" t="str">
        <f>IF(D14=C14,"n/a",1-E14/((D14-C14)*24*'1'!$E$42))</f>
        <v>n/a</v>
      </c>
      <c r="G14" s="265"/>
      <c r="H14" s="265"/>
      <c r="I14" s="265"/>
      <c r="J14" s="265"/>
    </row>
    <row r="15" spans="1:16">
      <c r="B15" s="259">
        <v>7</v>
      </c>
      <c r="C15" s="265"/>
      <c r="D15" s="265"/>
      <c r="E15" s="448"/>
      <c r="F15" s="447" t="str">
        <f>IF(D15=C15,"n/a",1-E15/((D15-C15)*24*'1'!$E$42))</f>
        <v>n/a</v>
      </c>
      <c r="G15" s="265"/>
      <c r="H15" s="265"/>
      <c r="I15" s="265"/>
      <c r="J15" s="265"/>
    </row>
    <row r="16" spans="1:16">
      <c r="A16" s="420"/>
      <c r="B16" s="259">
        <v>8</v>
      </c>
      <c r="C16" s="265"/>
      <c r="D16" s="265"/>
      <c r="E16" s="448"/>
      <c r="F16" s="447" t="str">
        <f>IF(D16=C16,"n/a",1-E16/((D16-C16)*24*'1'!$E$42))</f>
        <v>n/a</v>
      </c>
      <c r="G16" s="265"/>
      <c r="H16" s="265"/>
      <c r="I16" s="265"/>
      <c r="J16" s="265"/>
    </row>
    <row r="17" spans="2:10">
      <c r="B17" s="259">
        <v>9</v>
      </c>
      <c r="C17" s="265"/>
      <c r="D17" s="265"/>
      <c r="E17" s="448"/>
      <c r="F17" s="447" t="str">
        <f>IF(D17=C17,"n/a",1-E17/((D17-C17)*24*'1'!$E$42))</f>
        <v>n/a</v>
      </c>
      <c r="G17" s="265"/>
      <c r="H17" s="265"/>
      <c r="I17" s="265"/>
      <c r="J17" s="265"/>
    </row>
    <row r="18" spans="2:10">
      <c r="B18" s="259">
        <v>10</v>
      </c>
      <c r="C18" s="265"/>
      <c r="D18" s="265"/>
      <c r="E18" s="448"/>
      <c r="F18" s="447" t="str">
        <f>IF(D18=C18,"n/a",1-E18/((D18-C18)*24*'1'!$E$42))</f>
        <v>n/a</v>
      </c>
      <c r="G18" s="265"/>
      <c r="H18" s="265"/>
      <c r="I18" s="265"/>
      <c r="J18" s="265"/>
    </row>
    <row r="19" spans="2:10">
      <c r="B19" s="259">
        <v>11</v>
      </c>
      <c r="C19" s="265"/>
      <c r="D19" s="265"/>
      <c r="E19" s="448"/>
      <c r="F19" s="447" t="str">
        <f>IF(D19=C19,"n/a",1-E19/((D19-C19)*24*'1'!$E$42))</f>
        <v>n/a</v>
      </c>
      <c r="G19" s="265"/>
      <c r="H19" s="265"/>
      <c r="I19" s="265"/>
      <c r="J19" s="265"/>
    </row>
    <row r="20" spans="2:10">
      <c r="B20" s="259">
        <v>12</v>
      </c>
      <c r="C20" s="265"/>
      <c r="D20" s="265"/>
      <c r="E20" s="448"/>
      <c r="F20" s="447" t="str">
        <f>IF(D20=C20,"n/a",1-E20/((D20-C20)*24*'1'!$E$42))</f>
        <v>n/a</v>
      </c>
      <c r="G20" s="265"/>
      <c r="H20" s="265"/>
      <c r="I20" s="265"/>
      <c r="J20" s="265"/>
    </row>
    <row r="21" spans="2:10">
      <c r="B21" s="259">
        <v>13</v>
      </c>
      <c r="C21" s="265"/>
      <c r="D21" s="265"/>
      <c r="E21" s="448"/>
      <c r="F21" s="447" t="str">
        <f>IF(D21=C21,"n/a",1-E21/((D21-C21)*24*'1'!$E$42))</f>
        <v>n/a</v>
      </c>
      <c r="G21" s="265"/>
      <c r="H21" s="265"/>
      <c r="I21" s="265"/>
      <c r="J21" s="265"/>
    </row>
    <row r="22" spans="2:10">
      <c r="B22" s="259">
        <v>14</v>
      </c>
      <c r="C22" s="265"/>
      <c r="D22" s="265"/>
      <c r="E22" s="448"/>
      <c r="F22" s="447" t="str">
        <f>IF(D22=C22,"n/a",1-E22/((D22-C22)*24*'1'!$E$42))</f>
        <v>n/a</v>
      </c>
      <c r="G22" s="265"/>
      <c r="H22" s="265"/>
      <c r="I22" s="265"/>
      <c r="J22" s="265"/>
    </row>
    <row r="23" spans="2:10">
      <c r="B23" s="259">
        <v>15</v>
      </c>
      <c r="C23" s="265"/>
      <c r="D23" s="265"/>
      <c r="E23" s="448"/>
      <c r="F23" s="447" t="str">
        <f>IF(D23=C23,"n/a",1-E23/((D23-C23)*24*'1'!$E$42))</f>
        <v>n/a</v>
      </c>
      <c r="G23" s="265"/>
      <c r="H23" s="265"/>
      <c r="I23" s="265"/>
      <c r="J23" s="265"/>
    </row>
    <row r="24" spans="2:10">
      <c r="B24" s="259">
        <v>16</v>
      </c>
      <c r="C24" s="265"/>
      <c r="D24" s="265"/>
      <c r="E24" s="448"/>
      <c r="F24" s="447" t="str">
        <f>IF(D24=C24,"n/a",1-E24/((D24-C24)*24*'1'!$E$42))</f>
        <v>n/a</v>
      </c>
      <c r="G24" s="265"/>
      <c r="H24" s="265"/>
      <c r="I24" s="265"/>
      <c r="J24" s="265"/>
    </row>
    <row r="25" spans="2:10">
      <c r="B25" s="259">
        <v>17</v>
      </c>
      <c r="C25" s="265"/>
      <c r="D25" s="265"/>
      <c r="E25" s="448"/>
      <c r="F25" s="447" t="str">
        <f>IF(D25=C25,"n/a",1-E25/((D25-C25)*24*'1'!$E$42))</f>
        <v>n/a</v>
      </c>
      <c r="G25" s="265"/>
      <c r="H25" s="265"/>
      <c r="I25" s="265"/>
      <c r="J25" s="265"/>
    </row>
    <row r="26" spans="2:10">
      <c r="B26" s="259">
        <v>18</v>
      </c>
      <c r="C26" s="265"/>
      <c r="D26" s="265"/>
      <c r="E26" s="448"/>
      <c r="F26" s="447" t="str">
        <f>IF(D26=C26,"n/a",1-E26/((D26-C26)*24*'1'!$E$42))</f>
        <v>n/a</v>
      </c>
      <c r="G26" s="265"/>
      <c r="H26" s="265"/>
      <c r="I26" s="265"/>
      <c r="J26" s="265"/>
    </row>
    <row r="27" spans="2:10">
      <c r="B27" s="259">
        <v>19</v>
      </c>
      <c r="C27" s="265"/>
      <c r="D27" s="265"/>
      <c r="E27" s="448"/>
      <c r="F27" s="447" t="str">
        <f>IF(D27=C27,"n/a",1-E27/((D27-C27)*24*'1'!$E$42))</f>
        <v>n/a</v>
      </c>
      <c r="G27" s="265"/>
      <c r="H27" s="265"/>
      <c r="I27" s="265"/>
      <c r="J27" s="265"/>
    </row>
    <row r="28" spans="2:10">
      <c r="B28" s="259">
        <v>20</v>
      </c>
      <c r="C28" s="265"/>
      <c r="D28" s="265"/>
      <c r="E28" s="448"/>
      <c r="F28" s="447" t="str">
        <f>IF(D28=C28,"n/a",1-E28/((D28-C28)*24*'1'!$E$42))</f>
        <v>n/a</v>
      </c>
      <c r="G28" s="265"/>
      <c r="H28" s="265"/>
      <c r="I28" s="265"/>
      <c r="J28" s="265"/>
    </row>
    <row r="29" spans="2:10">
      <c r="B29" s="259">
        <v>21</v>
      </c>
      <c r="C29" s="265"/>
      <c r="D29" s="265"/>
      <c r="E29" s="448"/>
      <c r="F29" s="447" t="str">
        <f>IF(D29=C29,"n/a",1-E29/((D29-C29)*24*'1'!$E$42))</f>
        <v>n/a</v>
      </c>
      <c r="G29" s="265"/>
      <c r="H29" s="265"/>
      <c r="I29" s="265"/>
      <c r="J29" s="265"/>
    </row>
    <row r="30" spans="2:10">
      <c r="B30" s="259">
        <v>22</v>
      </c>
      <c r="C30" s="265"/>
      <c r="D30" s="265"/>
      <c r="E30" s="448"/>
      <c r="F30" s="447" t="str">
        <f>IF(D30=C30,"n/a",1-E30/((D30-C30)*24*'1'!$E$42))</f>
        <v>n/a</v>
      </c>
      <c r="G30" s="265"/>
      <c r="H30" s="265"/>
      <c r="I30" s="265"/>
      <c r="J30" s="265"/>
    </row>
    <row r="31" spans="2:10">
      <c r="B31" s="259">
        <v>23</v>
      </c>
      <c r="C31" s="265"/>
      <c r="D31" s="265"/>
      <c r="E31" s="448"/>
      <c r="F31" s="447" t="str">
        <f>IF(D31=C31,"n/a",1-E31/((D31-C31)*24*'1'!$E$42))</f>
        <v>n/a</v>
      </c>
      <c r="G31" s="265"/>
      <c r="H31" s="265"/>
      <c r="I31" s="265"/>
      <c r="J31" s="265"/>
    </row>
    <row r="32" spans="2:10">
      <c r="B32" s="259">
        <v>24</v>
      </c>
      <c r="C32" s="265"/>
      <c r="D32" s="265"/>
      <c r="E32" s="448"/>
      <c r="F32" s="447" t="str">
        <f>IF(D32=C32,"n/a",1-E32/((D32-C32)*24*'1'!$E$42))</f>
        <v>n/a</v>
      </c>
      <c r="G32" s="265"/>
      <c r="H32" s="265"/>
      <c r="I32" s="265"/>
      <c r="J32" s="265"/>
    </row>
    <row r="33" spans="2:10">
      <c r="B33" s="259">
        <v>25</v>
      </c>
      <c r="C33" s="265"/>
      <c r="D33" s="265"/>
      <c r="E33" s="448"/>
      <c r="F33" s="447" t="str">
        <f>IF(D33=C33,"n/a",1-E33/((D33-C33)*24*'1'!$E$42))</f>
        <v>n/a</v>
      </c>
      <c r="G33" s="265"/>
      <c r="H33" s="265"/>
      <c r="I33" s="265"/>
      <c r="J33" s="265"/>
    </row>
    <row r="34" spans="2:10">
      <c r="B34" s="259">
        <v>26</v>
      </c>
      <c r="C34" s="265"/>
      <c r="D34" s="265"/>
      <c r="E34" s="448"/>
      <c r="F34" s="447" t="str">
        <f>IF(D34=C34,"n/a",1-E34/((D34-C34)*24*'1'!$E$42))</f>
        <v>n/a</v>
      </c>
      <c r="G34" s="265"/>
      <c r="H34" s="265"/>
      <c r="I34" s="265"/>
      <c r="J34" s="265"/>
    </row>
    <row r="35" spans="2:10">
      <c r="B35" s="259">
        <v>27</v>
      </c>
      <c r="C35" s="265"/>
      <c r="D35" s="265"/>
      <c r="E35" s="448"/>
      <c r="F35" s="447" t="str">
        <f>IF(D35=C35,"n/a",1-E35/((D35-C35)*24*'1'!$E$42))</f>
        <v>n/a</v>
      </c>
      <c r="G35" s="265"/>
      <c r="H35" s="265"/>
      <c r="I35" s="265"/>
      <c r="J35" s="265"/>
    </row>
    <row r="36" spans="2:10">
      <c r="B36" s="259">
        <v>28</v>
      </c>
      <c r="C36" s="265"/>
      <c r="D36" s="265"/>
      <c r="E36" s="448"/>
      <c r="F36" s="447" t="str">
        <f>IF(D36=C36,"n/a",1-E36/((D36-C36)*24*'1'!$E$42))</f>
        <v>n/a</v>
      </c>
      <c r="G36" s="265"/>
      <c r="H36" s="265"/>
      <c r="I36" s="265"/>
      <c r="J36" s="265"/>
    </row>
    <row r="37" spans="2:10">
      <c r="B37" s="259">
        <v>29</v>
      </c>
      <c r="C37" s="265"/>
      <c r="D37" s="265"/>
      <c r="E37" s="448"/>
      <c r="F37" s="447" t="str">
        <f>IF(D37=C37,"n/a",1-E37/((D37-C37)*24*'1'!$E$42))</f>
        <v>n/a</v>
      </c>
      <c r="G37" s="265"/>
      <c r="H37" s="265"/>
      <c r="I37" s="265"/>
      <c r="J37" s="265"/>
    </row>
    <row r="38" spans="2:10">
      <c r="B38" s="259">
        <v>30</v>
      </c>
      <c r="C38" s="265"/>
      <c r="D38" s="265"/>
      <c r="E38" s="448"/>
      <c r="F38" s="447" t="str">
        <f>IF(D38=C38,"n/a",1-E38/((D38-C38)*24*'1'!$E$42))</f>
        <v>n/a</v>
      </c>
      <c r="G38" s="265"/>
      <c r="H38" s="265"/>
      <c r="I38" s="265"/>
      <c r="J38" s="265"/>
    </row>
    <row r="39" spans="2:10">
      <c r="B39" s="259">
        <v>31</v>
      </c>
      <c r="C39" s="265"/>
      <c r="D39" s="265"/>
      <c r="E39" s="448"/>
      <c r="F39" s="447" t="str">
        <f>IF(D39=C39,"n/a",1-E39/((D39-C39)*24*'1'!$E$42))</f>
        <v>n/a</v>
      </c>
      <c r="G39" s="265"/>
      <c r="H39" s="265"/>
      <c r="I39" s="265"/>
      <c r="J39" s="265"/>
    </row>
    <row r="40" spans="2:10">
      <c r="B40" s="259">
        <v>32</v>
      </c>
      <c r="C40" s="265"/>
      <c r="D40" s="265"/>
      <c r="E40" s="448"/>
      <c r="F40" s="447" t="str">
        <f>IF(D40=C40,"n/a",1-E40/((D40-C40)*24*'1'!$E$42))</f>
        <v>n/a</v>
      </c>
      <c r="G40" s="265"/>
      <c r="H40" s="265"/>
      <c r="I40" s="265"/>
      <c r="J40" s="265"/>
    </row>
    <row r="41" spans="2:10">
      <c r="B41" s="259">
        <v>33</v>
      </c>
      <c r="C41" s="265"/>
      <c r="D41" s="265"/>
      <c r="E41" s="448"/>
      <c r="F41" s="447" t="str">
        <f>IF(D41=C41,"n/a",1-E41/((D41-C41)*24*'1'!$E$42))</f>
        <v>n/a</v>
      </c>
      <c r="G41" s="265"/>
      <c r="H41" s="265"/>
      <c r="I41" s="265"/>
      <c r="J41" s="265"/>
    </row>
    <row r="42" spans="2:10">
      <c r="B42" s="259">
        <v>34</v>
      </c>
      <c r="C42" s="265"/>
      <c r="D42" s="265"/>
      <c r="E42" s="448"/>
      <c r="F42" s="447" t="str">
        <f>IF(D42=C42,"n/a",1-E42/((D42-C42)*24*'1'!$E$42))</f>
        <v>n/a</v>
      </c>
      <c r="G42" s="265"/>
      <c r="H42" s="265"/>
      <c r="I42" s="265"/>
      <c r="J42" s="265"/>
    </row>
    <row r="43" spans="2:10">
      <c r="B43" s="259">
        <v>35</v>
      </c>
      <c r="C43" s="265"/>
      <c r="D43" s="265"/>
      <c r="E43" s="448"/>
      <c r="F43" s="447" t="str">
        <f>IF(D43=C43,"n/a",1-E43/((D43-C43)*24*'1'!$E$42))</f>
        <v>n/a</v>
      </c>
      <c r="G43" s="265"/>
      <c r="H43" s="265"/>
      <c r="I43" s="265"/>
      <c r="J43" s="265"/>
    </row>
    <row r="44" spans="2:10">
      <c r="B44" s="259">
        <v>36</v>
      </c>
      <c r="C44" s="265"/>
      <c r="D44" s="265"/>
      <c r="E44" s="448"/>
      <c r="F44" s="447" t="str">
        <f>IF(D44=C44,"n/a",1-E44/((D44-C44)*24*'1'!$E$42))</f>
        <v>n/a</v>
      </c>
      <c r="G44" s="265"/>
      <c r="H44" s="265"/>
      <c r="I44" s="265"/>
      <c r="J44" s="265"/>
    </row>
    <row r="45" spans="2:10">
      <c r="B45" s="259">
        <v>37</v>
      </c>
      <c r="C45" s="265"/>
      <c r="D45" s="265"/>
      <c r="E45" s="448"/>
      <c r="F45" s="447" t="str">
        <f>IF(D45=C45,"n/a",1-E45/((D45-C45)*24*'1'!$E$42))</f>
        <v>n/a</v>
      </c>
      <c r="G45" s="265"/>
      <c r="H45" s="265"/>
      <c r="I45" s="265"/>
      <c r="J45" s="265"/>
    </row>
    <row r="46" spans="2:10">
      <c r="B46" s="259">
        <v>38</v>
      </c>
      <c r="C46" s="265"/>
      <c r="D46" s="265"/>
      <c r="E46" s="448"/>
      <c r="F46" s="447" t="str">
        <f>IF(D46=C46,"n/a",1-E46/((D46-C46)*24*'1'!$E$42))</f>
        <v>n/a</v>
      </c>
      <c r="G46" s="265"/>
      <c r="H46" s="265"/>
      <c r="I46" s="265"/>
      <c r="J46" s="265"/>
    </row>
    <row r="47" spans="2:10">
      <c r="B47" s="259">
        <v>39</v>
      </c>
      <c r="C47" s="265"/>
      <c r="D47" s="265"/>
      <c r="E47" s="448"/>
      <c r="F47" s="447" t="str">
        <f>IF(D47=C47,"n/a",1-E47/((D47-C47)*24*'1'!$E$42))</f>
        <v>n/a</v>
      </c>
      <c r="G47" s="265"/>
      <c r="H47" s="265"/>
      <c r="I47" s="265"/>
      <c r="J47" s="265"/>
    </row>
    <row r="48" spans="2:10">
      <c r="B48" s="259">
        <v>40</v>
      </c>
      <c r="C48" s="265"/>
      <c r="D48" s="265"/>
      <c r="E48" s="448"/>
      <c r="F48" s="447" t="str">
        <f>IF(D48=C48,"n/a",1-E48/((D48-C48)*24*'1'!$E$42))</f>
        <v>n/a</v>
      </c>
      <c r="G48" s="265"/>
      <c r="H48" s="265"/>
      <c r="I48" s="265"/>
      <c r="J48" s="265"/>
    </row>
    <row r="49" spans="2:10">
      <c r="B49" s="259">
        <v>41</v>
      </c>
      <c r="C49" s="265"/>
      <c r="D49" s="265"/>
      <c r="E49" s="448"/>
      <c r="F49" s="447" t="str">
        <f>IF(D49=C49,"n/a",1-E49/((D49-C49)*24*'1'!$E$42))</f>
        <v>n/a</v>
      </c>
      <c r="G49" s="265"/>
      <c r="H49" s="265"/>
      <c r="I49" s="265"/>
      <c r="J49" s="265"/>
    </row>
    <row r="50" spans="2:10">
      <c r="B50" s="259">
        <v>42</v>
      </c>
      <c r="C50" s="265"/>
      <c r="D50" s="265"/>
      <c r="E50" s="448"/>
      <c r="F50" s="447" t="str">
        <f>IF(D50=C50,"n/a",1-E50/((D50-C50)*24*'1'!$E$42))</f>
        <v>n/a</v>
      </c>
      <c r="G50" s="265"/>
      <c r="H50" s="265"/>
      <c r="I50" s="265"/>
      <c r="J50" s="265"/>
    </row>
    <row r="51" spans="2:10">
      <c r="B51" s="259">
        <v>43</v>
      </c>
      <c r="C51" s="265"/>
      <c r="D51" s="265"/>
      <c r="E51" s="448"/>
      <c r="F51" s="447" t="str">
        <f>IF(D51=C51,"n/a",1-E51/((D51-C51)*24*'1'!$E$42))</f>
        <v>n/a</v>
      </c>
      <c r="G51" s="265"/>
      <c r="H51" s="265"/>
      <c r="I51" s="265"/>
      <c r="J51" s="265"/>
    </row>
    <row r="52" spans="2:10">
      <c r="B52" s="259">
        <v>44</v>
      </c>
      <c r="C52" s="265"/>
      <c r="D52" s="265"/>
      <c r="E52" s="448"/>
      <c r="F52" s="447" t="str">
        <f>IF(D52=C52,"n/a",1-E52/((D52-C52)*24*'1'!$E$42))</f>
        <v>n/a</v>
      </c>
      <c r="G52" s="265"/>
      <c r="H52" s="265"/>
      <c r="I52" s="265"/>
      <c r="J52" s="265"/>
    </row>
    <row r="53" spans="2:10">
      <c r="B53" s="259">
        <v>45</v>
      </c>
      <c r="C53" s="265"/>
      <c r="D53" s="265"/>
      <c r="E53" s="448"/>
      <c r="F53" s="447" t="str">
        <f>IF(D53=C53,"n/a",1-E53/((D53-C53)*24*'1'!$E$42))</f>
        <v>n/a</v>
      </c>
      <c r="G53" s="265"/>
      <c r="H53" s="265"/>
      <c r="I53" s="265"/>
      <c r="J53" s="265"/>
    </row>
    <row r="54" spans="2:10">
      <c r="B54" s="259">
        <v>46</v>
      </c>
      <c r="C54" s="265"/>
      <c r="D54" s="265"/>
      <c r="E54" s="448"/>
      <c r="F54" s="447" t="str">
        <f>IF(D54=C54,"n/a",1-E54/((D54-C54)*24*'1'!$E$42))</f>
        <v>n/a</v>
      </c>
      <c r="G54" s="265"/>
      <c r="H54" s="265"/>
      <c r="I54" s="265"/>
      <c r="J54" s="265"/>
    </row>
    <row r="55" spans="2:10">
      <c r="B55" s="259">
        <v>47</v>
      </c>
      <c r="C55" s="265"/>
      <c r="D55" s="265"/>
      <c r="E55" s="448"/>
      <c r="F55" s="447" t="str">
        <f>IF(D55=C55,"n/a",1-E55/((D55-C55)*24*'1'!$E$42))</f>
        <v>n/a</v>
      </c>
      <c r="G55" s="265"/>
      <c r="H55" s="265"/>
      <c r="I55" s="265"/>
      <c r="J55" s="265"/>
    </row>
    <row r="56" spans="2:10">
      <c r="B56" s="259">
        <v>48</v>
      </c>
      <c r="C56" s="265"/>
      <c r="D56" s="265"/>
      <c r="E56" s="448"/>
      <c r="F56" s="447" t="str">
        <f>IF(D56=C56,"n/a",1-E56/((D56-C56)*24*'1'!$E$42))</f>
        <v>n/a</v>
      </c>
      <c r="G56" s="265"/>
      <c r="H56" s="265"/>
      <c r="I56" s="265"/>
      <c r="J56" s="265"/>
    </row>
    <row r="57" spans="2:10">
      <c r="B57" s="259">
        <v>49</v>
      </c>
      <c r="C57" s="265"/>
      <c r="D57" s="265"/>
      <c r="E57" s="448"/>
      <c r="F57" s="447" t="str">
        <f>IF(D57=C57,"n/a",1-E57/((D57-C57)*24*'1'!$E$42))</f>
        <v>n/a</v>
      </c>
      <c r="G57" s="265"/>
      <c r="H57" s="265"/>
      <c r="I57" s="265"/>
      <c r="J57" s="265"/>
    </row>
    <row r="58" spans="2:10">
      <c r="B58" s="259">
        <v>50</v>
      </c>
      <c r="C58" s="265"/>
      <c r="D58" s="265"/>
      <c r="E58" s="448"/>
      <c r="F58" s="476" t="str">
        <f>IF(D58=C58,"n/a",1-E58/((D58-C58)*24*'1'!$E$42))</f>
        <v>n/a</v>
      </c>
      <c r="G58" s="265"/>
      <c r="H58" s="265"/>
      <c r="I58" s="265"/>
      <c r="J58" s="265"/>
    </row>
    <row r="59" spans="2:10"/>
    <row r="60" spans="2:10" hidden="1"/>
    <row r="61" spans="2:10" hidden="1"/>
    <row r="62" spans="2:10" hidden="1"/>
    <row r="63" spans="2:10" hidden="1"/>
    <row r="64" spans="2:10"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sheetData>
  <sheetProtection sheet="1" objects="1" scenarios="1"/>
  <autoFilter ref="B8:J8"/>
  <conditionalFormatting sqref="A8 A11">
    <cfRule type="cellIs" dxfId="9" priority="3" operator="equal">
      <formula>"O"</formula>
    </cfRule>
    <cfRule type="cellIs" dxfId="8" priority="4" operator="equal">
      <formula>"P"</formula>
    </cfRule>
  </conditionalFormatting>
  <dataValidations disablePrompts="1" count="1">
    <dataValidation type="list" allowBlank="1" showInputMessage="1" showErrorMessage="1" sqref="H9:H58 J9:J58">
      <formula1>$O$9:$O$11</formula1>
    </dataValidation>
  </dataValidations>
  <hyperlinks>
    <hyperlink ref="A5" location="'Sign off'!A1" display="Index"/>
  </hyperlinks>
  <printOptions horizontalCentered="1" headings="1"/>
  <pageMargins left="0" right="0" top="0" bottom="0.35433070866141736" header="0" footer="0"/>
  <pageSetup paperSize="8" scale="96" orientation="landscape" r:id="rId1"/>
  <headerFooter>
    <oddFooter>&amp;L&amp;Z&amp;F&amp;A&amp;C&amp;P&amp;R&amp;D</oddFooter>
  </headerFooter>
  <drawing r:id="rId2"/>
  <legacyDrawing r:id="rId3"/>
</worksheet>
</file>

<file path=xl/worksheets/sheet19.xml><?xml version="1.0" encoding="utf-8"?>
<worksheet xmlns="http://schemas.openxmlformats.org/spreadsheetml/2006/main" xmlns:r="http://schemas.openxmlformats.org/officeDocument/2006/relationships">
  <sheetPr codeName="Sheet20">
    <pageSetUpPr fitToPage="1"/>
  </sheetPr>
  <dimension ref="A1:Q275"/>
  <sheetViews>
    <sheetView zoomScale="90" zoomScaleNormal="90" zoomScaleSheetLayoutView="70" workbookViewId="0"/>
  </sheetViews>
  <sheetFormatPr defaultColWidth="0" defaultRowHeight="12.75" zeroHeight="1"/>
  <cols>
    <col min="1" max="1" width="20.6640625" style="43" customWidth="1"/>
    <col min="2" max="2" width="4.6640625" style="255" bestFit="1" customWidth="1"/>
    <col min="3" max="3" width="21.33203125" style="255" bestFit="1" customWidth="1"/>
    <col min="4" max="4" width="21.33203125" style="255" customWidth="1"/>
    <col min="5" max="5" width="20.83203125" style="255" customWidth="1"/>
    <col min="6" max="6" width="22.5" style="255" customWidth="1"/>
    <col min="7" max="7" width="17.5" style="255" bestFit="1" customWidth="1"/>
    <col min="8" max="8" width="31.5" style="255" bestFit="1" customWidth="1"/>
    <col min="9" max="9" width="14" style="255" bestFit="1" customWidth="1"/>
    <col min="10" max="10" width="37.6640625" style="255" bestFit="1" customWidth="1"/>
    <col min="11" max="11" width="16.6640625" style="255" bestFit="1" customWidth="1"/>
    <col min="12" max="12" width="9.33203125" style="255" customWidth="1"/>
    <col min="13" max="15" width="9.33203125" style="255" hidden="1" customWidth="1"/>
    <col min="16" max="16" width="12.5" style="255" hidden="1" customWidth="1"/>
    <col min="17" max="17" width="11.33203125" style="255" hidden="1" customWidth="1"/>
    <col min="18" max="16384" width="9.33203125" style="255" hidden="1"/>
  </cols>
  <sheetData>
    <row r="1" spans="1:17" s="356" customFormat="1" ht="27.75" customHeight="1">
      <c r="D1" s="357" t="s">
        <v>185</v>
      </c>
    </row>
    <row r="2" spans="1:17" s="356" customFormat="1" ht="18" customHeight="1">
      <c r="D2" s="356" t="s">
        <v>169</v>
      </c>
      <c r="E2" s="358" t="str">
        <f>'Universal data'!$D$11</f>
        <v>Demo sands</v>
      </c>
    </row>
    <row r="3" spans="1:17" s="356" customFormat="1" ht="18" customHeight="1">
      <c r="D3" s="356" t="s">
        <v>170</v>
      </c>
      <c r="E3" s="358" t="str">
        <f>'Universal data'!$D$9</f>
        <v>[Offshore transmission operator 1]</v>
      </c>
      <c r="G3" s="360"/>
      <c r="H3" s="360"/>
      <c r="K3" s="360"/>
    </row>
    <row r="4" spans="1:17" s="356" customFormat="1" ht="18" customHeight="1">
      <c r="D4" s="356" t="s">
        <v>171</v>
      </c>
      <c r="E4" s="358" t="str">
        <f>'Universal data'!$D$12-1&amp;"-"&amp;'Universal data'!$D$12-2000</f>
        <v>2012-13</v>
      </c>
      <c r="G4" s="360"/>
      <c r="H4" s="360"/>
      <c r="K4" s="360"/>
    </row>
    <row r="5" spans="1:17">
      <c r="A5" s="26" t="s">
        <v>251</v>
      </c>
    </row>
    <row r="6" spans="1:17" ht="18">
      <c r="A6" s="255"/>
      <c r="B6" s="258" t="s">
        <v>247</v>
      </c>
    </row>
    <row r="7" spans="1:17">
      <c r="A7" s="255" t="s">
        <v>266</v>
      </c>
    </row>
    <row r="8" spans="1:17" ht="38.25" customHeight="1">
      <c r="A8" s="379" t="s">
        <v>267</v>
      </c>
      <c r="B8" s="259"/>
      <c r="C8" s="260" t="s">
        <v>28</v>
      </c>
      <c r="D8" s="260" t="s">
        <v>83</v>
      </c>
      <c r="E8" s="260" t="s">
        <v>297</v>
      </c>
      <c r="F8" s="260" t="s">
        <v>287</v>
      </c>
      <c r="G8" s="260" t="s">
        <v>33</v>
      </c>
      <c r="H8" s="260" t="s">
        <v>29</v>
      </c>
      <c r="I8" s="260" t="s">
        <v>30</v>
      </c>
      <c r="J8" s="260" t="s">
        <v>31</v>
      </c>
      <c r="K8" s="260" t="s">
        <v>37</v>
      </c>
      <c r="L8" s="262"/>
      <c r="M8" s="263"/>
      <c r="P8" s="255" t="s">
        <v>119</v>
      </c>
    </row>
    <row r="9" spans="1:17">
      <c r="A9" s="255"/>
      <c r="B9" s="259">
        <v>1</v>
      </c>
      <c r="C9" s="264"/>
      <c r="D9" s="264"/>
      <c r="E9" s="448"/>
      <c r="F9" s="447" t="str">
        <f>IF(D9=C9,"n/a",1-E9/((D9-C9)*24*'1'!$E$42))</f>
        <v>n/a</v>
      </c>
      <c r="G9" s="265"/>
      <c r="H9" s="265"/>
      <c r="I9" s="265"/>
      <c r="J9" s="265"/>
      <c r="K9" s="265"/>
      <c r="P9" s="255" t="s">
        <v>36</v>
      </c>
      <c r="Q9" s="255" t="s">
        <v>32</v>
      </c>
    </row>
    <row r="10" spans="1:17">
      <c r="A10" s="255" t="s">
        <v>268</v>
      </c>
      <c r="B10" s="259">
        <v>2</v>
      </c>
      <c r="C10" s="264"/>
      <c r="D10" s="264"/>
      <c r="E10" s="448"/>
      <c r="F10" s="447" t="str">
        <f>IF(D10=C10,"n/a",1-E10/((D10-C10)*24*'1'!$E$42))</f>
        <v>n/a</v>
      </c>
      <c r="G10" s="265"/>
      <c r="H10" s="265"/>
      <c r="I10" s="265"/>
      <c r="J10" s="265"/>
      <c r="K10" s="265"/>
      <c r="P10" s="255" t="s">
        <v>34</v>
      </c>
      <c r="Q10" s="255" t="s">
        <v>35</v>
      </c>
    </row>
    <row r="11" spans="1:17">
      <c r="A11" s="379" t="s">
        <v>269</v>
      </c>
      <c r="B11" s="259">
        <v>3</v>
      </c>
      <c r="C11" s="265"/>
      <c r="D11" s="265"/>
      <c r="E11" s="448"/>
      <c r="F11" s="447" t="str">
        <f>IF(D11=C11,"n/a",1-E11/((D11-C11)*24*'1'!$E$42))</f>
        <v>n/a</v>
      </c>
      <c r="G11" s="265"/>
      <c r="H11" s="265"/>
      <c r="I11" s="265"/>
      <c r="J11" s="265"/>
      <c r="K11" s="265"/>
      <c r="P11" s="255" t="s">
        <v>120</v>
      </c>
    </row>
    <row r="12" spans="1:17">
      <c r="A12" s="414"/>
      <c r="B12" s="259">
        <v>4</v>
      </c>
      <c r="C12" s="265"/>
      <c r="D12" s="265"/>
      <c r="E12" s="448"/>
      <c r="F12" s="447" t="str">
        <f>IF(D12=C12,"n/a",1-E12/((D12-C12)*24*'1'!$E$42))</f>
        <v>n/a</v>
      </c>
      <c r="G12" s="265"/>
      <c r="H12" s="265"/>
      <c r="I12" s="265"/>
      <c r="J12" s="265"/>
      <c r="K12" s="265"/>
    </row>
    <row r="13" spans="1:17">
      <c r="A13" s="415" t="b">
        <v>0</v>
      </c>
      <c r="B13" s="259">
        <v>5</v>
      </c>
      <c r="C13" s="265"/>
      <c r="D13" s="265"/>
      <c r="E13" s="448"/>
      <c r="F13" s="447" t="str">
        <f>IF(D13=C13,"n/a",1-E13/((D13-C13)*24*'1'!$E$42))</f>
        <v>n/a</v>
      </c>
      <c r="G13" s="265"/>
      <c r="H13" s="265"/>
      <c r="I13" s="265"/>
      <c r="J13" s="265"/>
      <c r="K13" s="265"/>
    </row>
    <row r="14" spans="1:17">
      <c r="B14" s="259">
        <v>6</v>
      </c>
      <c r="C14" s="265"/>
      <c r="D14" s="265"/>
      <c r="E14" s="448"/>
      <c r="F14" s="447" t="str">
        <f>IF(D14=C14,"n/a",1-E14/((D14-C14)*24*'1'!$E$42))</f>
        <v>n/a</v>
      </c>
      <c r="G14" s="265"/>
      <c r="H14" s="265"/>
      <c r="I14" s="265"/>
      <c r="J14" s="265"/>
      <c r="K14" s="265"/>
    </row>
    <row r="15" spans="1:17">
      <c r="B15" s="259">
        <v>7</v>
      </c>
      <c r="C15" s="265"/>
      <c r="D15" s="265"/>
      <c r="E15" s="448"/>
      <c r="F15" s="447" t="str">
        <f>IF(D15=C15,"n/a",1-E15/((D15-C15)*24*'1'!$E$42))</f>
        <v>n/a</v>
      </c>
      <c r="G15" s="265"/>
      <c r="H15" s="265"/>
      <c r="I15" s="265"/>
      <c r="J15" s="265"/>
      <c r="K15" s="265"/>
    </row>
    <row r="16" spans="1:17">
      <c r="A16" s="420"/>
      <c r="B16" s="259">
        <v>8</v>
      </c>
      <c r="C16" s="265"/>
      <c r="D16" s="265"/>
      <c r="E16" s="448"/>
      <c r="F16" s="447" t="str">
        <f>IF(D16=C16,"n/a",1-E16/((D16-C16)*24*'1'!$E$42))</f>
        <v>n/a</v>
      </c>
      <c r="G16" s="265"/>
      <c r="H16" s="265"/>
      <c r="I16" s="265"/>
      <c r="J16" s="265"/>
      <c r="K16" s="265"/>
    </row>
    <row r="17" spans="2:11">
      <c r="B17" s="259">
        <v>9</v>
      </c>
      <c r="C17" s="265"/>
      <c r="D17" s="265"/>
      <c r="E17" s="448"/>
      <c r="F17" s="447" t="str">
        <f>IF(D17=C17,"n/a",1-E17/((D17-C17)*24*'1'!$E$42))</f>
        <v>n/a</v>
      </c>
      <c r="G17" s="265"/>
      <c r="H17" s="265"/>
      <c r="I17" s="265"/>
      <c r="J17" s="265"/>
      <c r="K17" s="265"/>
    </row>
    <row r="18" spans="2:11">
      <c r="B18" s="259">
        <v>10</v>
      </c>
      <c r="C18" s="265"/>
      <c r="D18" s="265"/>
      <c r="E18" s="448"/>
      <c r="F18" s="447" t="str">
        <f>IF(D18=C18,"n/a",1-E18/((D18-C18)*24*'1'!$E$42))</f>
        <v>n/a</v>
      </c>
      <c r="G18" s="265"/>
      <c r="H18" s="265"/>
      <c r="I18" s="265"/>
      <c r="J18" s="265"/>
      <c r="K18" s="265"/>
    </row>
    <row r="19" spans="2:11">
      <c r="B19" s="259">
        <v>11</v>
      </c>
      <c r="C19" s="265"/>
      <c r="D19" s="265"/>
      <c r="E19" s="448"/>
      <c r="F19" s="447" t="str">
        <f>IF(D19=C19,"n/a",1-E19/((D19-C19)*24*'1'!$E$42))</f>
        <v>n/a</v>
      </c>
      <c r="G19" s="265"/>
      <c r="H19" s="265"/>
      <c r="I19" s="265"/>
      <c r="J19" s="265"/>
      <c r="K19" s="265"/>
    </row>
    <row r="20" spans="2:11">
      <c r="B20" s="259">
        <v>12</v>
      </c>
      <c r="C20" s="265"/>
      <c r="D20" s="265"/>
      <c r="E20" s="448"/>
      <c r="F20" s="447" t="str">
        <f>IF(D20=C20,"n/a",1-E20/((D20-C20)*24*'1'!$E$42))</f>
        <v>n/a</v>
      </c>
      <c r="G20" s="265"/>
      <c r="H20" s="265"/>
      <c r="I20" s="265"/>
      <c r="J20" s="265"/>
      <c r="K20" s="265"/>
    </row>
    <row r="21" spans="2:11">
      <c r="B21" s="259">
        <v>13</v>
      </c>
      <c r="C21" s="265"/>
      <c r="D21" s="265"/>
      <c r="E21" s="448"/>
      <c r="F21" s="447" t="str">
        <f>IF(D21=C21,"n/a",1-E21/((D21-C21)*24*'1'!$E$42))</f>
        <v>n/a</v>
      </c>
      <c r="G21" s="265"/>
      <c r="H21" s="265"/>
      <c r="I21" s="265"/>
      <c r="J21" s="265"/>
      <c r="K21" s="265"/>
    </row>
    <row r="22" spans="2:11">
      <c r="B22" s="259">
        <v>14</v>
      </c>
      <c r="C22" s="265"/>
      <c r="D22" s="265"/>
      <c r="E22" s="448"/>
      <c r="F22" s="447" t="str">
        <f>IF(D22=C22,"n/a",1-E22/((D22-C22)*24*'1'!$E$42))</f>
        <v>n/a</v>
      </c>
      <c r="G22" s="265"/>
      <c r="H22" s="265"/>
      <c r="I22" s="265"/>
      <c r="J22" s="265"/>
      <c r="K22" s="265"/>
    </row>
    <row r="23" spans="2:11">
      <c r="B23" s="259">
        <v>15</v>
      </c>
      <c r="C23" s="265"/>
      <c r="D23" s="265"/>
      <c r="E23" s="448"/>
      <c r="F23" s="447" t="str">
        <f>IF(D23=C23,"n/a",1-E23/((D23-C23)*24*'1'!$E$42))</f>
        <v>n/a</v>
      </c>
      <c r="G23" s="265"/>
      <c r="H23" s="265"/>
      <c r="I23" s="265"/>
      <c r="J23" s="265"/>
      <c r="K23" s="265"/>
    </row>
    <row r="24" spans="2:11">
      <c r="B24" s="259">
        <v>16</v>
      </c>
      <c r="C24" s="265"/>
      <c r="D24" s="265"/>
      <c r="E24" s="448"/>
      <c r="F24" s="447" t="str">
        <f>IF(D24=C24,"n/a",1-E24/((D24-C24)*24*'1'!$E$42))</f>
        <v>n/a</v>
      </c>
      <c r="G24" s="265"/>
      <c r="H24" s="265"/>
      <c r="I24" s="265"/>
      <c r="J24" s="265"/>
      <c r="K24" s="265"/>
    </row>
    <row r="25" spans="2:11">
      <c r="B25" s="259">
        <v>17</v>
      </c>
      <c r="C25" s="265"/>
      <c r="D25" s="265"/>
      <c r="E25" s="448"/>
      <c r="F25" s="447" t="str">
        <f>IF(D25=C25,"n/a",1-E25/((D25-C25)*24*'1'!$E$42))</f>
        <v>n/a</v>
      </c>
      <c r="G25" s="265"/>
      <c r="H25" s="265"/>
      <c r="I25" s="265"/>
      <c r="J25" s="265"/>
      <c r="K25" s="265"/>
    </row>
    <row r="26" spans="2:11">
      <c r="B26" s="259">
        <v>18</v>
      </c>
      <c r="C26" s="265"/>
      <c r="D26" s="265"/>
      <c r="E26" s="448"/>
      <c r="F26" s="447" t="str">
        <f>IF(D26=C26,"n/a",1-E26/((D26-C26)*24*'1'!$E$42))</f>
        <v>n/a</v>
      </c>
      <c r="G26" s="265"/>
      <c r="H26" s="265"/>
      <c r="I26" s="265"/>
      <c r="J26" s="265"/>
      <c r="K26" s="265"/>
    </row>
    <row r="27" spans="2:11">
      <c r="B27" s="259">
        <v>19</v>
      </c>
      <c r="C27" s="265"/>
      <c r="D27" s="265"/>
      <c r="E27" s="448"/>
      <c r="F27" s="447" t="str">
        <f>IF(D27=C27,"n/a",1-E27/((D27-C27)*24*'1'!$E$42))</f>
        <v>n/a</v>
      </c>
      <c r="G27" s="265"/>
      <c r="H27" s="265"/>
      <c r="I27" s="265"/>
      <c r="J27" s="265"/>
      <c r="K27" s="265"/>
    </row>
    <row r="28" spans="2:11">
      <c r="B28" s="259">
        <v>20</v>
      </c>
      <c r="C28" s="265"/>
      <c r="D28" s="265"/>
      <c r="E28" s="448"/>
      <c r="F28" s="447" t="str">
        <f>IF(D28=C28,"n/a",1-E28/((D28-C28)*24*'1'!$E$42))</f>
        <v>n/a</v>
      </c>
      <c r="G28" s="265"/>
      <c r="H28" s="265"/>
      <c r="I28" s="265"/>
      <c r="J28" s="265"/>
      <c r="K28" s="265"/>
    </row>
    <row r="29" spans="2:11">
      <c r="B29" s="259">
        <v>21</v>
      </c>
      <c r="C29" s="265"/>
      <c r="D29" s="265"/>
      <c r="E29" s="448"/>
      <c r="F29" s="447" t="str">
        <f>IF(D29=C29,"n/a",1-E29/((D29-C29)*24*'1'!$E$42))</f>
        <v>n/a</v>
      </c>
      <c r="G29" s="265"/>
      <c r="H29" s="265"/>
      <c r="I29" s="265"/>
      <c r="J29" s="265"/>
      <c r="K29" s="265"/>
    </row>
    <row r="30" spans="2:11">
      <c r="B30" s="259">
        <v>22</v>
      </c>
      <c r="C30" s="265"/>
      <c r="D30" s="265"/>
      <c r="E30" s="448"/>
      <c r="F30" s="447" t="str">
        <f>IF(D30=C30,"n/a",1-E30/((D30-C30)*24*'1'!$E$42))</f>
        <v>n/a</v>
      </c>
      <c r="G30" s="265"/>
      <c r="H30" s="265"/>
      <c r="I30" s="265"/>
      <c r="J30" s="265"/>
      <c r="K30" s="265"/>
    </row>
    <row r="31" spans="2:11">
      <c r="B31" s="259">
        <v>23</v>
      </c>
      <c r="C31" s="265"/>
      <c r="D31" s="265"/>
      <c r="E31" s="448"/>
      <c r="F31" s="447" t="str">
        <f>IF(D31=C31,"n/a",1-E31/((D31-C31)*24*'1'!$E$42))</f>
        <v>n/a</v>
      </c>
      <c r="G31" s="265"/>
      <c r="H31" s="265"/>
      <c r="I31" s="265"/>
      <c r="J31" s="265"/>
      <c r="K31" s="265"/>
    </row>
    <row r="32" spans="2:11">
      <c r="B32" s="259">
        <v>24</v>
      </c>
      <c r="C32" s="265"/>
      <c r="D32" s="265"/>
      <c r="E32" s="448"/>
      <c r="F32" s="447" t="str">
        <f>IF(D32=C32,"n/a",1-E32/((D32-C32)*24*'1'!$E$42))</f>
        <v>n/a</v>
      </c>
      <c r="G32" s="265"/>
      <c r="H32" s="265"/>
      <c r="I32" s="265"/>
      <c r="J32" s="265"/>
      <c r="K32" s="265"/>
    </row>
    <row r="33" spans="2:11">
      <c r="B33" s="259">
        <v>25</v>
      </c>
      <c r="C33" s="265"/>
      <c r="D33" s="265"/>
      <c r="E33" s="448"/>
      <c r="F33" s="447" t="str">
        <f>IF(D33=C33,"n/a",1-E33/((D33-C33)*24*'1'!$E$42))</f>
        <v>n/a</v>
      </c>
      <c r="G33" s="265"/>
      <c r="H33" s="265"/>
      <c r="I33" s="265"/>
      <c r="J33" s="265"/>
      <c r="K33" s="265"/>
    </row>
    <row r="34" spans="2:11">
      <c r="B34" s="259">
        <v>26</v>
      </c>
      <c r="C34" s="265"/>
      <c r="D34" s="265"/>
      <c r="E34" s="448"/>
      <c r="F34" s="447" t="str">
        <f>IF(D34=C34,"n/a",1-E34/((D34-C34)*24*'1'!$E$42))</f>
        <v>n/a</v>
      </c>
      <c r="G34" s="265"/>
      <c r="H34" s="265"/>
      <c r="I34" s="265"/>
      <c r="J34" s="265"/>
      <c r="K34" s="265"/>
    </row>
    <row r="35" spans="2:11">
      <c r="B35" s="259">
        <v>27</v>
      </c>
      <c r="C35" s="265"/>
      <c r="D35" s="265"/>
      <c r="E35" s="448"/>
      <c r="F35" s="447" t="str">
        <f>IF(D35=C35,"n/a",1-E35/((D35-C35)*24*'1'!$E$42))</f>
        <v>n/a</v>
      </c>
      <c r="G35" s="265"/>
      <c r="H35" s="265"/>
      <c r="I35" s="265"/>
      <c r="J35" s="265"/>
      <c r="K35" s="265"/>
    </row>
    <row r="36" spans="2:11">
      <c r="B36" s="259">
        <v>28</v>
      </c>
      <c r="C36" s="265"/>
      <c r="D36" s="265"/>
      <c r="E36" s="448"/>
      <c r="F36" s="447" t="str">
        <f>IF(D36=C36,"n/a",1-E36/((D36-C36)*24*'1'!$E$42))</f>
        <v>n/a</v>
      </c>
      <c r="G36" s="265"/>
      <c r="H36" s="265"/>
      <c r="I36" s="265"/>
      <c r="J36" s="265"/>
      <c r="K36" s="265"/>
    </row>
    <row r="37" spans="2:11">
      <c r="B37" s="259">
        <v>29</v>
      </c>
      <c r="C37" s="265"/>
      <c r="D37" s="265"/>
      <c r="E37" s="448"/>
      <c r="F37" s="447" t="str">
        <f>IF(D37=C37,"n/a",1-E37/((D37-C37)*24*'1'!$E$42))</f>
        <v>n/a</v>
      </c>
      <c r="G37" s="265"/>
      <c r="H37" s="265"/>
      <c r="I37" s="265"/>
      <c r="J37" s="265"/>
      <c r="K37" s="265"/>
    </row>
    <row r="38" spans="2:11">
      <c r="B38" s="259">
        <v>30</v>
      </c>
      <c r="C38" s="265"/>
      <c r="D38" s="265"/>
      <c r="E38" s="448"/>
      <c r="F38" s="447" t="str">
        <f>IF(D38=C38,"n/a",1-E38/((D38-C38)*24*'1'!$E$42))</f>
        <v>n/a</v>
      </c>
      <c r="G38" s="265"/>
      <c r="H38" s="265"/>
      <c r="I38" s="265"/>
      <c r="J38" s="265"/>
      <c r="K38" s="265"/>
    </row>
    <row r="39" spans="2:11">
      <c r="B39" s="259">
        <v>31</v>
      </c>
      <c r="C39" s="265"/>
      <c r="D39" s="265"/>
      <c r="E39" s="448"/>
      <c r="F39" s="447" t="str">
        <f>IF(D39=C39,"n/a",1-E39/((D39-C39)*24*'1'!$E$42))</f>
        <v>n/a</v>
      </c>
      <c r="G39" s="265"/>
      <c r="H39" s="265"/>
      <c r="I39" s="265"/>
      <c r="J39" s="265"/>
      <c r="K39" s="265"/>
    </row>
    <row r="40" spans="2:11">
      <c r="B40" s="259">
        <v>32</v>
      </c>
      <c r="C40" s="265"/>
      <c r="D40" s="265"/>
      <c r="E40" s="448"/>
      <c r="F40" s="447" t="str">
        <f>IF(D40=C40,"n/a",1-E40/((D40-C40)*24*'1'!$E$42))</f>
        <v>n/a</v>
      </c>
      <c r="G40" s="265"/>
      <c r="H40" s="265"/>
      <c r="I40" s="265"/>
      <c r="J40" s="265"/>
      <c r="K40" s="265"/>
    </row>
    <row r="41" spans="2:11">
      <c r="B41" s="259">
        <v>33</v>
      </c>
      <c r="C41" s="265"/>
      <c r="D41" s="265"/>
      <c r="E41" s="448"/>
      <c r="F41" s="447" t="str">
        <f>IF(D41=C41,"n/a",1-E41/((D41-C41)*24*'1'!$E$42))</f>
        <v>n/a</v>
      </c>
      <c r="G41" s="265"/>
      <c r="H41" s="265"/>
      <c r="I41" s="265"/>
      <c r="J41" s="265"/>
      <c r="K41" s="265"/>
    </row>
    <row r="42" spans="2:11">
      <c r="B42" s="259">
        <v>34</v>
      </c>
      <c r="C42" s="265"/>
      <c r="D42" s="265"/>
      <c r="E42" s="448"/>
      <c r="F42" s="447" t="str">
        <f>IF(D42=C42,"n/a",1-E42/((D42-C42)*24*'1'!$E$42))</f>
        <v>n/a</v>
      </c>
      <c r="G42" s="265"/>
      <c r="H42" s="265"/>
      <c r="I42" s="265"/>
      <c r="J42" s="265"/>
      <c r="K42" s="265"/>
    </row>
    <row r="43" spans="2:11">
      <c r="B43" s="259">
        <v>35</v>
      </c>
      <c r="C43" s="265"/>
      <c r="D43" s="265"/>
      <c r="E43" s="448"/>
      <c r="F43" s="447" t="str">
        <f>IF(D43=C43,"n/a",1-E43/((D43-C43)*24*'1'!$E$42))</f>
        <v>n/a</v>
      </c>
      <c r="G43" s="265"/>
      <c r="H43" s="265"/>
      <c r="I43" s="265"/>
      <c r="J43" s="265"/>
      <c r="K43" s="265"/>
    </row>
    <row r="44" spans="2:11">
      <c r="B44" s="259">
        <v>36</v>
      </c>
      <c r="C44" s="265"/>
      <c r="D44" s="265"/>
      <c r="E44" s="448"/>
      <c r="F44" s="447" t="str">
        <f>IF(D44=C44,"n/a",1-E44/((D44-C44)*24*'1'!$E$42))</f>
        <v>n/a</v>
      </c>
      <c r="G44" s="265"/>
      <c r="H44" s="265"/>
      <c r="I44" s="265"/>
      <c r="J44" s="265"/>
      <c r="K44" s="265"/>
    </row>
    <row r="45" spans="2:11">
      <c r="B45" s="259">
        <v>37</v>
      </c>
      <c r="C45" s="265"/>
      <c r="D45" s="265"/>
      <c r="E45" s="448"/>
      <c r="F45" s="447" t="str">
        <f>IF(D45=C45,"n/a",1-E45/((D45-C45)*24*'1'!$E$42))</f>
        <v>n/a</v>
      </c>
      <c r="G45" s="265"/>
      <c r="H45" s="265"/>
      <c r="I45" s="265"/>
      <c r="J45" s="265"/>
      <c r="K45" s="265"/>
    </row>
    <row r="46" spans="2:11">
      <c r="B46" s="259">
        <v>38</v>
      </c>
      <c r="C46" s="265"/>
      <c r="D46" s="265"/>
      <c r="E46" s="448"/>
      <c r="F46" s="447" t="str">
        <f>IF(D46=C46,"n/a",1-E46/((D46-C46)*24*'1'!$E$42))</f>
        <v>n/a</v>
      </c>
      <c r="G46" s="265"/>
      <c r="H46" s="265"/>
      <c r="I46" s="265"/>
      <c r="J46" s="265"/>
      <c r="K46" s="265"/>
    </row>
    <row r="47" spans="2:11">
      <c r="B47" s="259">
        <v>39</v>
      </c>
      <c r="C47" s="265"/>
      <c r="D47" s="265"/>
      <c r="E47" s="448"/>
      <c r="F47" s="447" t="str">
        <f>IF(D47=C47,"n/a",1-E47/((D47-C47)*24*'1'!$E$42))</f>
        <v>n/a</v>
      </c>
      <c r="G47" s="265"/>
      <c r="H47" s="265"/>
      <c r="I47" s="265"/>
      <c r="J47" s="265"/>
      <c r="K47" s="265"/>
    </row>
    <row r="48" spans="2:11">
      <c r="B48" s="259">
        <v>40</v>
      </c>
      <c r="C48" s="265"/>
      <c r="D48" s="265"/>
      <c r="E48" s="448"/>
      <c r="F48" s="447" t="str">
        <f>IF(D48=C48,"n/a",1-E48/((D48-C48)*24*'1'!$E$42))</f>
        <v>n/a</v>
      </c>
      <c r="G48" s="265"/>
      <c r="H48" s="265"/>
      <c r="I48" s="265"/>
      <c r="J48" s="265"/>
      <c r="K48" s="265"/>
    </row>
    <row r="49" spans="2:11">
      <c r="B49" s="259">
        <v>41</v>
      </c>
      <c r="C49" s="265"/>
      <c r="D49" s="265"/>
      <c r="E49" s="448"/>
      <c r="F49" s="447" t="str">
        <f>IF(D49=C49,"n/a",1-E49/((D49-C49)*24*'1'!$E$42))</f>
        <v>n/a</v>
      </c>
      <c r="G49" s="265"/>
      <c r="H49" s="265"/>
      <c r="I49" s="265"/>
      <c r="J49" s="265"/>
      <c r="K49" s="265"/>
    </row>
    <row r="50" spans="2:11">
      <c r="B50" s="259">
        <v>42</v>
      </c>
      <c r="C50" s="265"/>
      <c r="D50" s="265"/>
      <c r="E50" s="448"/>
      <c r="F50" s="447" t="str">
        <f>IF(D50=C50,"n/a",1-E50/((D50-C50)*24*'1'!$E$42))</f>
        <v>n/a</v>
      </c>
      <c r="G50" s="265"/>
      <c r="H50" s="265"/>
      <c r="I50" s="265"/>
      <c r="J50" s="265"/>
      <c r="K50" s="265"/>
    </row>
    <row r="51" spans="2:11">
      <c r="B51" s="259">
        <v>43</v>
      </c>
      <c r="C51" s="265"/>
      <c r="D51" s="265"/>
      <c r="E51" s="448"/>
      <c r="F51" s="447" t="str">
        <f>IF(D51=C51,"n/a",1-E51/((D51-C51)*24*'1'!$E$42))</f>
        <v>n/a</v>
      </c>
      <c r="G51" s="265"/>
      <c r="H51" s="265"/>
      <c r="I51" s="265"/>
      <c r="J51" s="265"/>
      <c r="K51" s="265"/>
    </row>
    <row r="52" spans="2:11">
      <c r="B52" s="259">
        <v>44</v>
      </c>
      <c r="C52" s="265"/>
      <c r="D52" s="265"/>
      <c r="E52" s="448"/>
      <c r="F52" s="447" t="str">
        <f>IF(D52=C52,"n/a",1-E52/((D52-C52)*24*'1'!$E$42))</f>
        <v>n/a</v>
      </c>
      <c r="G52" s="265"/>
      <c r="H52" s="265"/>
      <c r="I52" s="265"/>
      <c r="J52" s="265"/>
      <c r="K52" s="265"/>
    </row>
    <row r="53" spans="2:11">
      <c r="B53" s="259">
        <v>45</v>
      </c>
      <c r="C53" s="265"/>
      <c r="D53" s="265"/>
      <c r="E53" s="448"/>
      <c r="F53" s="447" t="str">
        <f>IF(D53=C53,"n/a",1-E53/((D53-C53)*24*'1'!$E$42))</f>
        <v>n/a</v>
      </c>
      <c r="G53" s="265"/>
      <c r="H53" s="265"/>
      <c r="I53" s="265"/>
      <c r="J53" s="265"/>
      <c r="K53" s="265"/>
    </row>
    <row r="54" spans="2:11">
      <c r="B54" s="259">
        <v>46</v>
      </c>
      <c r="C54" s="265"/>
      <c r="D54" s="265"/>
      <c r="E54" s="448"/>
      <c r="F54" s="447" t="str">
        <f>IF(D54=C54,"n/a",1-E54/((D54-C54)*24*'1'!$E$42))</f>
        <v>n/a</v>
      </c>
      <c r="G54" s="265"/>
      <c r="H54" s="265"/>
      <c r="I54" s="265"/>
      <c r="J54" s="265"/>
      <c r="K54" s="265"/>
    </row>
    <row r="55" spans="2:11">
      <c r="B55" s="259">
        <v>47</v>
      </c>
      <c r="C55" s="265"/>
      <c r="D55" s="265"/>
      <c r="E55" s="448"/>
      <c r="F55" s="447" t="str">
        <f>IF(D55=C55,"n/a",1-E55/((D55-C55)*24*'1'!$E$42))</f>
        <v>n/a</v>
      </c>
      <c r="G55" s="265"/>
      <c r="H55" s="265"/>
      <c r="I55" s="265"/>
      <c r="J55" s="265"/>
      <c r="K55" s="265"/>
    </row>
    <row r="56" spans="2:11">
      <c r="B56" s="259">
        <v>48</v>
      </c>
      <c r="C56" s="265"/>
      <c r="D56" s="265"/>
      <c r="E56" s="448"/>
      <c r="F56" s="447" t="str">
        <f>IF(D56=C56,"n/a",1-E56/((D56-C56)*24*'1'!$E$42))</f>
        <v>n/a</v>
      </c>
      <c r="G56" s="265"/>
      <c r="H56" s="265"/>
      <c r="I56" s="265"/>
      <c r="J56" s="265"/>
      <c r="K56" s="265"/>
    </row>
    <row r="57" spans="2:11">
      <c r="B57" s="259">
        <v>49</v>
      </c>
      <c r="C57" s="265"/>
      <c r="D57" s="265"/>
      <c r="E57" s="448"/>
      <c r="F57" s="447" t="str">
        <f>IF(D57=C57,"n/a",1-E57/((D57-C57)*24*'1'!$E$42))</f>
        <v>n/a</v>
      </c>
      <c r="G57" s="265"/>
      <c r="H57" s="265"/>
      <c r="I57" s="265"/>
      <c r="J57" s="265"/>
      <c r="K57" s="265"/>
    </row>
    <row r="58" spans="2:11">
      <c r="B58" s="259">
        <v>50</v>
      </c>
      <c r="C58" s="265"/>
      <c r="D58" s="265"/>
      <c r="E58" s="448"/>
      <c r="F58" s="476" t="str">
        <f>IF(D58=C58,"n/a",1-E58/((D58-C58)*24*'1'!$E$42))</f>
        <v>n/a</v>
      </c>
      <c r="G58" s="265"/>
      <c r="H58" s="265"/>
      <c r="I58" s="265"/>
      <c r="J58" s="265"/>
      <c r="K58" s="265"/>
    </row>
    <row r="59" spans="2:11"/>
    <row r="60" spans="2:11" hidden="1"/>
    <row r="61" spans="2:11" hidden="1"/>
    <row r="62" spans="2:11" hidden="1"/>
    <row r="63" spans="2:11" hidden="1"/>
    <row r="64" spans="2: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sheetData>
  <sheetProtection sheet="1" objects="1" scenarios="1"/>
  <autoFilter ref="B8:K8"/>
  <conditionalFormatting sqref="A8 A11">
    <cfRule type="cellIs" dxfId="7" priority="3" operator="equal">
      <formula>"O"</formula>
    </cfRule>
    <cfRule type="cellIs" dxfId="6" priority="4" operator="equal">
      <formula>"P"</formula>
    </cfRule>
  </conditionalFormatting>
  <dataValidations count="2">
    <dataValidation type="list" allowBlank="1" showInputMessage="1" showErrorMessage="1" sqref="I9:I58 K9:K58">
      <formula1>$P$9:$P$11</formula1>
    </dataValidation>
    <dataValidation type="list" allowBlank="1" showInputMessage="1" showErrorMessage="1" sqref="G9:G58">
      <formula1>$Q$9:$Q$10</formula1>
    </dataValidation>
  </dataValidations>
  <hyperlinks>
    <hyperlink ref="A5" location="'Sign off'!A1" display="Index"/>
  </hyperlinks>
  <printOptions horizontalCentered="1"/>
  <pageMargins left="0" right="0" top="0" bottom="0.35433070866141736" header="0" footer="0"/>
  <pageSetup paperSize="8" scale="98" orientation="landscape" r:id="rId1"/>
  <headerFooter>
    <oddFooter>&amp;L&amp;Z&amp;F&amp;A&amp;C&amp;P&amp;R&amp;D</oddFooter>
  </headerFooter>
  <drawing r:id="rId2"/>
  <legacyDrawing r:id="rId3"/>
</worksheet>
</file>

<file path=xl/worksheets/sheet2.xml><?xml version="1.0" encoding="utf-8"?>
<worksheet xmlns="http://schemas.openxmlformats.org/spreadsheetml/2006/main" xmlns:r="http://schemas.openxmlformats.org/officeDocument/2006/relationships">
  <sheetPr codeName="Sheet4"/>
  <dimension ref="A1:J60"/>
  <sheetViews>
    <sheetView zoomScale="90" zoomScaleNormal="90" workbookViewId="0">
      <pane ySplit="4" topLeftCell="A5" activePane="bottomLeft" state="frozen"/>
      <selection activeCell="B6" sqref="B6:I16"/>
      <selection pane="bottomLeft" activeCell="A22" sqref="A22"/>
    </sheetView>
  </sheetViews>
  <sheetFormatPr defaultColWidth="0" defaultRowHeight="12.75" customHeight="1" zeroHeight="1"/>
  <cols>
    <col min="1" max="1" width="13.1640625" style="361" customWidth="1"/>
    <col min="2" max="2" width="101.83203125" style="361" bestFit="1" customWidth="1"/>
    <col min="3" max="3" width="11.5" style="361" customWidth="1"/>
    <col min="4" max="4" width="13.83203125" style="361" bestFit="1" customWidth="1"/>
    <col min="5" max="10" width="12" style="361" customWidth="1"/>
    <col min="11" max="11" width="12" style="361" hidden="1" customWidth="1"/>
    <col min="12" max="16384" width="12" style="361" hidden="1"/>
  </cols>
  <sheetData>
    <row r="1" spans="1:10" s="356" customFormat="1" ht="27.75" customHeight="1">
      <c r="C1" s="357" t="s">
        <v>185</v>
      </c>
    </row>
    <row r="2" spans="1:10" s="356" customFormat="1" ht="18" customHeight="1">
      <c r="C2" s="356" t="s">
        <v>169</v>
      </c>
      <c r="D2" s="358" t="str">
        <f>'Universal data'!$D$11</f>
        <v>Demo sands</v>
      </c>
    </row>
    <row r="3" spans="1:10" s="356" customFormat="1" ht="18" customHeight="1">
      <c r="A3" s="359"/>
      <c r="B3" s="359"/>
      <c r="C3" s="356" t="s">
        <v>170</v>
      </c>
      <c r="D3" s="358" t="str">
        <f>'Universal data'!$D$9</f>
        <v>[Offshore transmission operator 1]</v>
      </c>
      <c r="F3" s="360"/>
      <c r="G3" s="360"/>
      <c r="J3" s="360"/>
    </row>
    <row r="4" spans="1:10" s="356" customFormat="1" ht="18" customHeight="1">
      <c r="A4" s="359"/>
      <c r="B4" s="359"/>
      <c r="C4" s="356" t="s">
        <v>171</v>
      </c>
      <c r="D4" s="358" t="str">
        <f>'Universal data'!$D$12-1&amp;"-"&amp;'Universal data'!$D$12-2000</f>
        <v>2012-13</v>
      </c>
      <c r="F4" s="360"/>
      <c r="G4" s="360"/>
      <c r="J4" s="360"/>
    </row>
    <row r="5" spans="1:10">
      <c r="A5" s="188"/>
    </row>
    <row r="6" spans="1:10" ht="18">
      <c r="B6" s="362" t="s">
        <v>178</v>
      </c>
    </row>
    <row r="7" spans="1:10" ht="13.5" thickBot="1"/>
    <row r="8" spans="1:10" ht="12.75" customHeight="1">
      <c r="B8" s="515" t="s">
        <v>229</v>
      </c>
      <c r="C8" s="516"/>
      <c r="D8" s="516"/>
      <c r="E8" s="516"/>
      <c r="F8" s="516"/>
      <c r="G8" s="516"/>
      <c r="H8" s="516"/>
      <c r="I8" s="517"/>
    </row>
    <row r="9" spans="1:10">
      <c r="B9" s="518"/>
      <c r="C9" s="519"/>
      <c r="D9" s="519"/>
      <c r="E9" s="519"/>
      <c r="F9" s="519"/>
      <c r="G9" s="519"/>
      <c r="H9" s="519"/>
      <c r="I9" s="520"/>
    </row>
    <row r="10" spans="1:10">
      <c r="B10" s="518"/>
      <c r="C10" s="519"/>
      <c r="D10" s="519"/>
      <c r="E10" s="519"/>
      <c r="F10" s="519"/>
      <c r="G10" s="519"/>
      <c r="H10" s="519"/>
      <c r="I10" s="520"/>
    </row>
    <row r="11" spans="1:10">
      <c r="B11" s="518"/>
      <c r="C11" s="519"/>
      <c r="D11" s="519"/>
      <c r="E11" s="519"/>
      <c r="F11" s="519"/>
      <c r="G11" s="519"/>
      <c r="H11" s="519"/>
      <c r="I11" s="520"/>
    </row>
    <row r="12" spans="1:10" s="363" customFormat="1" ht="12.75" customHeight="1">
      <c r="B12" s="525" t="s">
        <v>293</v>
      </c>
      <c r="C12" s="526"/>
      <c r="D12" s="526"/>
      <c r="E12" s="526"/>
      <c r="F12" s="526"/>
      <c r="G12" s="526"/>
      <c r="H12" s="526"/>
      <c r="I12" s="527"/>
    </row>
    <row r="13" spans="1:10" s="363" customFormat="1">
      <c r="B13" s="525"/>
      <c r="C13" s="526"/>
      <c r="D13" s="526"/>
      <c r="E13" s="526"/>
      <c r="F13" s="526"/>
      <c r="G13" s="526"/>
      <c r="H13" s="526"/>
      <c r="I13" s="527"/>
    </row>
    <row r="14" spans="1:10" s="363" customFormat="1">
      <c r="B14" s="525"/>
      <c r="C14" s="526"/>
      <c r="D14" s="526"/>
      <c r="E14" s="526"/>
      <c r="F14" s="526"/>
      <c r="G14" s="526"/>
      <c r="H14" s="526"/>
      <c r="I14" s="527"/>
    </row>
    <row r="15" spans="1:10" s="363" customFormat="1">
      <c r="B15" s="525"/>
      <c r="C15" s="526"/>
      <c r="D15" s="526"/>
      <c r="E15" s="526"/>
      <c r="F15" s="526"/>
      <c r="G15" s="526"/>
      <c r="H15" s="526"/>
      <c r="I15" s="527"/>
    </row>
    <row r="16" spans="1:10" ht="12.75" customHeight="1">
      <c r="B16" s="518" t="str">
        <f>CONCATENATE("I, ",C26,", confirm that ",'Universal data'!D9," is compliant with Amended Standard Condition E12 - D1 of its licence
I also confirm that I am aware that section 59 of the Electricity Act 1989 provides that a person commits an offence if, ","in giving any information or …. for the purpose of any provision of this Part [1] … he makes any statement which he knows to be false in a material particular, or recklessly makes any statement which is false in a material particular.","
I also confirm that I am aware that Section 108 of the Electricity Act 1989 makes it possible for a director/officer to be guilty of an offence committed by a body corporate where it is committed with the 'consent….of that person'.")</f>
        <v>I, [Name of director], confirm that [Offshore transmission operator 1] is compliant with Amended Standard Condition E12 - D1 of its licence
I also confirm that I am aware that section 59 of the Electricity Act 1989 provides that a person commits an offence if, in giving any information or …. for the purpose of any provision of this Part [1] … he makes any statement which he knows to be false in a material particular, or recklessly makes any statement which is false in a material particular.
I also confirm that I am aware that Section 108 of the Electricity Act 1989 makes it possible for a director/officer to be guilty of an offence committed by a body corporate where it is committed with the 'consent….of that person'.</v>
      </c>
      <c r="C16" s="519"/>
      <c r="D16" s="519"/>
      <c r="E16" s="519"/>
      <c r="F16" s="519"/>
      <c r="G16" s="519"/>
      <c r="H16" s="519"/>
      <c r="I16" s="520"/>
    </row>
    <row r="17" spans="1:9">
      <c r="B17" s="518"/>
      <c r="C17" s="519"/>
      <c r="D17" s="519"/>
      <c r="E17" s="519"/>
      <c r="F17" s="519"/>
      <c r="G17" s="519"/>
      <c r="H17" s="519"/>
      <c r="I17" s="520"/>
    </row>
    <row r="18" spans="1:9">
      <c r="B18" s="518"/>
      <c r="C18" s="519"/>
      <c r="D18" s="519"/>
      <c r="E18" s="519"/>
      <c r="F18" s="519"/>
      <c r="G18" s="519"/>
      <c r="H18" s="519"/>
      <c r="I18" s="520"/>
    </row>
    <row r="19" spans="1:9">
      <c r="B19" s="518"/>
      <c r="C19" s="519"/>
      <c r="D19" s="519"/>
      <c r="E19" s="519"/>
      <c r="F19" s="519"/>
      <c r="G19" s="519"/>
      <c r="H19" s="519"/>
      <c r="I19" s="520"/>
    </row>
    <row r="20" spans="1:9">
      <c r="B20" s="518"/>
      <c r="C20" s="519"/>
      <c r="D20" s="519"/>
      <c r="E20" s="519"/>
      <c r="F20" s="519"/>
      <c r="G20" s="519"/>
      <c r="H20" s="519"/>
      <c r="I20" s="520"/>
    </row>
    <row r="21" spans="1:9">
      <c r="B21" s="518"/>
      <c r="C21" s="519"/>
      <c r="D21" s="519"/>
      <c r="E21" s="519"/>
      <c r="F21" s="519"/>
      <c r="G21" s="519"/>
      <c r="H21" s="519"/>
      <c r="I21" s="520"/>
    </row>
    <row r="22" spans="1:9">
      <c r="B22" s="518"/>
      <c r="C22" s="519"/>
      <c r="D22" s="519"/>
      <c r="E22" s="519"/>
      <c r="F22" s="519"/>
      <c r="G22" s="519"/>
      <c r="H22" s="519"/>
      <c r="I22" s="520"/>
    </row>
    <row r="23" spans="1:9">
      <c r="B23" s="518"/>
      <c r="C23" s="519"/>
      <c r="D23" s="519"/>
      <c r="E23" s="519"/>
      <c r="F23" s="519"/>
      <c r="G23" s="519"/>
      <c r="H23" s="519"/>
      <c r="I23" s="520"/>
    </row>
    <row r="24" spans="1:9">
      <c r="B24" s="518"/>
      <c r="C24" s="519"/>
      <c r="D24" s="519"/>
      <c r="E24" s="519"/>
      <c r="F24" s="519"/>
      <c r="G24" s="519"/>
      <c r="H24" s="519"/>
      <c r="I24" s="520"/>
    </row>
    <row r="25" spans="1:9">
      <c r="B25" s="484"/>
      <c r="C25" s="483"/>
      <c r="D25" s="483"/>
      <c r="E25" s="483"/>
      <c r="F25" s="483"/>
      <c r="G25" s="483"/>
      <c r="H25" s="483"/>
      <c r="I25" s="485"/>
    </row>
    <row r="26" spans="1:9">
      <c r="B26" s="494" t="s">
        <v>179</v>
      </c>
      <c r="C26" s="521" t="s">
        <v>180</v>
      </c>
      <c r="D26" s="521"/>
      <c r="E26" s="521"/>
      <c r="F26" s="521"/>
      <c r="G26" s="521"/>
      <c r="H26" s="521"/>
      <c r="I26" s="522"/>
    </row>
    <row r="27" spans="1:9">
      <c r="B27" s="494" t="s">
        <v>181</v>
      </c>
      <c r="C27" s="521"/>
      <c r="D27" s="521"/>
      <c r="E27" s="521"/>
      <c r="F27" s="521"/>
      <c r="G27" s="521"/>
      <c r="H27" s="521"/>
      <c r="I27" s="522"/>
    </row>
    <row r="28" spans="1:9" ht="13.5" thickBot="1">
      <c r="B28" s="495" t="s">
        <v>182</v>
      </c>
      <c r="C28" s="523"/>
      <c r="D28" s="523"/>
      <c r="E28" s="523"/>
      <c r="F28" s="523"/>
      <c r="G28" s="523"/>
      <c r="H28" s="523"/>
      <c r="I28" s="524"/>
    </row>
    <row r="29" spans="1:9"/>
    <row r="30" spans="1:9">
      <c r="A30" s="364" t="s">
        <v>183</v>
      </c>
      <c r="B30" s="364" t="s">
        <v>184</v>
      </c>
      <c r="C30" s="514" t="s">
        <v>271</v>
      </c>
      <c r="D30" s="514"/>
      <c r="E30" s="514"/>
      <c r="F30" s="514" t="s">
        <v>272</v>
      </c>
      <c r="G30" s="514"/>
      <c r="H30" s="514"/>
    </row>
    <row r="31" spans="1:9">
      <c r="A31" s="365" t="str">
        <f t="shared" ref="A31" ca="1" si="0">IF(INDIRECT(CONCATENATE("'",LEFT(B31,SEARCH(".",B31)-1),"'!","a13")),"P","O")</f>
        <v>O</v>
      </c>
      <c r="B31" s="27" t="s">
        <v>233</v>
      </c>
      <c r="C31" s="511" t="str">
        <f t="shared" ref="C31:C44" ca="1" si="1">INDIRECT(CONCATENATE("'",LEFT(B31,SEARCH(".",B31)-1),"'!","a8"))</f>
        <v>Name of preparer</v>
      </c>
      <c r="D31" s="512"/>
      <c r="E31" s="513"/>
      <c r="F31" s="511" t="str">
        <f t="shared" ref="F31:F44" ca="1" si="2">INDIRECT(CONCATENATE("'",LEFT(B31,SEARCH(".",B31)-1),"'!","a11"))</f>
        <v>Name of reviewer</v>
      </c>
      <c r="G31" s="512"/>
      <c r="H31" s="513"/>
    </row>
    <row r="32" spans="1:9">
      <c r="A32" s="365" t="str">
        <f ca="1">IF(INDIRECT(CONCATENATE("'",LEFT(B32,SEARCH(".",B32)-1),"'!","a13")),"P","O")</f>
        <v>O</v>
      </c>
      <c r="B32" s="27" t="s">
        <v>234</v>
      </c>
      <c r="C32" s="511" t="str">
        <f t="shared" ca="1" si="1"/>
        <v>Name of preparer</v>
      </c>
      <c r="D32" s="512"/>
      <c r="E32" s="513"/>
      <c r="F32" s="511" t="str">
        <f t="shared" ca="1" si="2"/>
        <v>Name of reviewer</v>
      </c>
      <c r="G32" s="512"/>
      <c r="H32" s="513"/>
    </row>
    <row r="33" spans="1:8">
      <c r="A33" s="365" t="str">
        <f t="shared" ref="A33:A48" ca="1" si="3">IF(INDIRECT(CONCATENATE("'",LEFT(B33,SEARCH(".",B33)-1),"'!","a13")),"P","O")</f>
        <v>O</v>
      </c>
      <c r="B33" s="27" t="s">
        <v>235</v>
      </c>
      <c r="C33" s="511" t="str">
        <f t="shared" ca="1" si="1"/>
        <v>Name of preparer</v>
      </c>
      <c r="D33" s="512"/>
      <c r="E33" s="513"/>
      <c r="F33" s="511" t="str">
        <f t="shared" ca="1" si="2"/>
        <v>Name of reviewer</v>
      </c>
      <c r="G33" s="512"/>
      <c r="H33" s="513"/>
    </row>
    <row r="34" spans="1:8">
      <c r="A34" s="365" t="str">
        <f t="shared" ca="1" si="3"/>
        <v>O</v>
      </c>
      <c r="B34" s="27" t="s">
        <v>236</v>
      </c>
      <c r="C34" s="511" t="str">
        <f t="shared" ca="1" si="1"/>
        <v>Name of preparer</v>
      </c>
      <c r="D34" s="512"/>
      <c r="E34" s="513"/>
      <c r="F34" s="511" t="str">
        <f t="shared" ca="1" si="2"/>
        <v>Name of reviewer</v>
      </c>
      <c r="G34" s="512"/>
      <c r="H34" s="513"/>
    </row>
    <row r="35" spans="1:8">
      <c r="A35" s="365" t="str">
        <f t="shared" ca="1" si="3"/>
        <v>O</v>
      </c>
      <c r="B35" s="27" t="s">
        <v>237</v>
      </c>
      <c r="C35" s="511" t="str">
        <f t="shared" ca="1" si="1"/>
        <v>Name of preparer</v>
      </c>
      <c r="D35" s="512"/>
      <c r="E35" s="513"/>
      <c r="F35" s="511" t="str">
        <f t="shared" ca="1" si="2"/>
        <v>Name of reviewer</v>
      </c>
      <c r="G35" s="512"/>
      <c r="H35" s="513"/>
    </row>
    <row r="36" spans="1:8">
      <c r="A36" s="365" t="str">
        <f t="shared" ca="1" si="3"/>
        <v>O</v>
      </c>
      <c r="B36" s="27" t="s">
        <v>238</v>
      </c>
      <c r="C36" s="511" t="str">
        <f t="shared" ca="1" si="1"/>
        <v>Name of preparer</v>
      </c>
      <c r="D36" s="512"/>
      <c r="E36" s="513"/>
      <c r="F36" s="511" t="str">
        <f t="shared" ca="1" si="2"/>
        <v>Name of reviewer</v>
      </c>
      <c r="G36" s="512"/>
      <c r="H36" s="513"/>
    </row>
    <row r="37" spans="1:8">
      <c r="A37" s="365" t="str">
        <f t="shared" ca="1" si="3"/>
        <v>O</v>
      </c>
      <c r="B37" s="27" t="s">
        <v>239</v>
      </c>
      <c r="C37" s="511" t="str">
        <f t="shared" ca="1" si="1"/>
        <v>Name of preparer</v>
      </c>
      <c r="D37" s="512"/>
      <c r="E37" s="513"/>
      <c r="F37" s="511" t="str">
        <f t="shared" ca="1" si="2"/>
        <v>Name of reviewer</v>
      </c>
      <c r="G37" s="512"/>
      <c r="H37" s="513"/>
    </row>
    <row r="38" spans="1:8">
      <c r="A38" s="365" t="str">
        <f t="shared" ca="1" si="3"/>
        <v>O</v>
      </c>
      <c r="B38" s="27" t="s">
        <v>240</v>
      </c>
      <c r="C38" s="511" t="str">
        <f t="shared" ca="1" si="1"/>
        <v>Name of preparer</v>
      </c>
      <c r="D38" s="512"/>
      <c r="E38" s="513"/>
      <c r="F38" s="511" t="str">
        <f t="shared" ca="1" si="2"/>
        <v>Name of reviewer</v>
      </c>
      <c r="G38" s="512"/>
      <c r="H38" s="513"/>
    </row>
    <row r="39" spans="1:8">
      <c r="A39" s="365" t="str">
        <f t="shared" ca="1" si="3"/>
        <v>O</v>
      </c>
      <c r="B39" s="27" t="s">
        <v>241</v>
      </c>
      <c r="C39" s="511" t="str">
        <f t="shared" ca="1" si="1"/>
        <v>Name of preparer</v>
      </c>
      <c r="D39" s="512"/>
      <c r="E39" s="513"/>
      <c r="F39" s="511" t="str">
        <f t="shared" ca="1" si="2"/>
        <v>Name of reviewer</v>
      </c>
      <c r="G39" s="512"/>
      <c r="H39" s="513"/>
    </row>
    <row r="40" spans="1:8">
      <c r="A40" s="365" t="str">
        <f t="shared" ca="1" si="3"/>
        <v>O</v>
      </c>
      <c r="B40" s="27" t="s">
        <v>242</v>
      </c>
      <c r="C40" s="511" t="str">
        <f t="shared" ca="1" si="1"/>
        <v>Name of preparer</v>
      </c>
      <c r="D40" s="512"/>
      <c r="E40" s="513"/>
      <c r="F40" s="511" t="str">
        <f t="shared" ca="1" si="2"/>
        <v>Name of reviewer</v>
      </c>
      <c r="G40" s="512"/>
      <c r="H40" s="513"/>
    </row>
    <row r="41" spans="1:8">
      <c r="A41" s="365" t="str">
        <f t="shared" ca="1" si="3"/>
        <v>O</v>
      </c>
      <c r="B41" s="27" t="s">
        <v>243</v>
      </c>
      <c r="C41" s="511" t="str">
        <f t="shared" ca="1" si="1"/>
        <v>Name of preparer</v>
      </c>
      <c r="D41" s="512"/>
      <c r="E41" s="513"/>
      <c r="F41" s="511" t="str">
        <f t="shared" ca="1" si="2"/>
        <v>Reviewed by:</v>
      </c>
      <c r="G41" s="512"/>
      <c r="H41" s="513"/>
    </row>
    <row r="42" spans="1:8">
      <c r="A42" s="365" t="str">
        <f t="shared" ca="1" si="3"/>
        <v>O</v>
      </c>
      <c r="B42" s="27" t="s">
        <v>244</v>
      </c>
      <c r="C42" s="511" t="str">
        <f t="shared" ca="1" si="1"/>
        <v>Name of preparer</v>
      </c>
      <c r="D42" s="512"/>
      <c r="E42" s="513"/>
      <c r="F42" s="511" t="str">
        <f t="shared" ca="1" si="2"/>
        <v>Name of reviewer</v>
      </c>
      <c r="G42" s="512"/>
      <c r="H42" s="513"/>
    </row>
    <row r="43" spans="1:8">
      <c r="A43" s="365" t="str">
        <f t="shared" ca="1" si="3"/>
        <v>O</v>
      </c>
      <c r="B43" s="27" t="s">
        <v>245</v>
      </c>
      <c r="C43" s="511" t="str">
        <f t="shared" ca="1" si="1"/>
        <v>Name of preparer</v>
      </c>
      <c r="D43" s="512"/>
      <c r="E43" s="513"/>
      <c r="F43" s="511" t="str">
        <f t="shared" ca="1" si="2"/>
        <v>Name of reviewer</v>
      </c>
      <c r="G43" s="512"/>
      <c r="H43" s="513"/>
    </row>
    <row r="44" spans="1:8">
      <c r="A44" s="365" t="str">
        <f t="shared" ca="1" si="3"/>
        <v>O</v>
      </c>
      <c r="B44" s="27" t="s">
        <v>246</v>
      </c>
      <c r="C44" s="366" t="str">
        <f t="shared" ca="1" si="1"/>
        <v>Name of preparer</v>
      </c>
      <c r="D44" s="367"/>
      <c r="E44" s="368"/>
      <c r="F44" s="366" t="str">
        <f t="shared" ca="1" si="2"/>
        <v>Name of reviewer</v>
      </c>
      <c r="G44" s="367"/>
      <c r="H44" s="368"/>
    </row>
    <row r="45" spans="1:8">
      <c r="A45" s="365" t="str">
        <f t="shared" ca="1" si="3"/>
        <v>O</v>
      </c>
      <c r="B45" s="27" t="s">
        <v>247</v>
      </c>
      <c r="C45" s="366" t="str">
        <f t="shared" ref="C45:C48" ca="1" si="4">INDIRECT(CONCATENATE("'",LEFT(B45,SEARCH(".",B45)-1),"'!","a8"))</f>
        <v>Name of preparer</v>
      </c>
      <c r="D45" s="367"/>
      <c r="E45" s="368"/>
      <c r="F45" s="366" t="str">
        <f t="shared" ref="F45:F48" ca="1" si="5">INDIRECT(CONCATENATE("'",LEFT(B45,SEARCH(".",B45)-1),"'!","a11"))</f>
        <v>Name of reviewer</v>
      </c>
      <c r="G45" s="367"/>
      <c r="H45" s="368"/>
    </row>
    <row r="46" spans="1:8">
      <c r="A46" s="365" t="str">
        <f t="shared" ca="1" si="3"/>
        <v>O</v>
      </c>
      <c r="B46" s="27" t="s">
        <v>248</v>
      </c>
      <c r="C46" s="366" t="str">
        <f t="shared" ca="1" si="4"/>
        <v>Name of preparer</v>
      </c>
      <c r="D46" s="367"/>
      <c r="E46" s="368"/>
      <c r="F46" s="366" t="str">
        <f t="shared" ca="1" si="5"/>
        <v>Name of reviewer</v>
      </c>
      <c r="G46" s="367"/>
      <c r="H46" s="368"/>
    </row>
    <row r="47" spans="1:8">
      <c r="A47" s="365" t="str">
        <f t="shared" ca="1" si="3"/>
        <v>O</v>
      </c>
      <c r="B47" s="27" t="s">
        <v>249</v>
      </c>
      <c r="C47" s="366" t="str">
        <f t="shared" ca="1" si="4"/>
        <v>Name of preparer</v>
      </c>
      <c r="D47" s="367"/>
      <c r="E47" s="368"/>
      <c r="F47" s="366" t="str">
        <f t="shared" ca="1" si="5"/>
        <v>Name of reviewer</v>
      </c>
      <c r="G47" s="367"/>
      <c r="H47" s="368"/>
    </row>
    <row r="48" spans="1:8">
      <c r="A48" s="365" t="str">
        <f t="shared" ca="1" si="3"/>
        <v>O</v>
      </c>
      <c r="B48" s="27" t="s">
        <v>250</v>
      </c>
      <c r="C48" s="366" t="str">
        <f t="shared" ca="1" si="4"/>
        <v>Name of preparer</v>
      </c>
      <c r="D48" s="367"/>
      <c r="E48" s="368"/>
      <c r="F48" s="366" t="str">
        <f t="shared" ca="1" si="5"/>
        <v>Name of reviewer</v>
      </c>
      <c r="G48" s="367"/>
      <c r="H48" s="368"/>
    </row>
    <row r="49"/>
    <row r="50" hidden="1"/>
    <row r="51" hidden="1"/>
    <row r="52" hidden="1"/>
    <row r="53" hidden="1"/>
    <row r="54" hidden="1"/>
    <row r="55" hidden="1"/>
    <row r="56" hidden="1"/>
    <row r="57" hidden="1"/>
    <row r="58" hidden="1"/>
    <row r="59" ht="12.75" hidden="1" customHeight="1"/>
    <row r="60" ht="12.75" hidden="1" customHeight="1"/>
  </sheetData>
  <mergeCells count="34">
    <mergeCell ref="B8:I11"/>
    <mergeCell ref="B16:I24"/>
    <mergeCell ref="C26:I26"/>
    <mergeCell ref="C27:I27"/>
    <mergeCell ref="C28:I28"/>
    <mergeCell ref="B12:I15"/>
    <mergeCell ref="C30:E30"/>
    <mergeCell ref="F30:H30"/>
    <mergeCell ref="C31:E31"/>
    <mergeCell ref="F31:H31"/>
    <mergeCell ref="C32:E32"/>
    <mergeCell ref="F32:H32"/>
    <mergeCell ref="C33:E33"/>
    <mergeCell ref="F33:H33"/>
    <mergeCell ref="C34:E34"/>
    <mergeCell ref="F34:H34"/>
    <mergeCell ref="C35:E35"/>
    <mergeCell ref="F35:H35"/>
    <mergeCell ref="C36:E36"/>
    <mergeCell ref="F36:H36"/>
    <mergeCell ref="C37:E37"/>
    <mergeCell ref="F37:H37"/>
    <mergeCell ref="C38:E38"/>
    <mergeCell ref="F38:H38"/>
    <mergeCell ref="C42:E42"/>
    <mergeCell ref="F42:H42"/>
    <mergeCell ref="C43:E43"/>
    <mergeCell ref="F43:H43"/>
    <mergeCell ref="C39:E39"/>
    <mergeCell ref="F39:H39"/>
    <mergeCell ref="C40:E40"/>
    <mergeCell ref="F40:H40"/>
    <mergeCell ref="C41:E41"/>
    <mergeCell ref="F41:H41"/>
  </mergeCells>
  <conditionalFormatting sqref="A31:A48">
    <cfRule type="cellIs" dxfId="41" priority="1" operator="equal">
      <formula>"O"</formula>
    </cfRule>
    <cfRule type="cellIs" dxfId="40" priority="2" operator="equal">
      <formula>"P"</formula>
    </cfRule>
  </conditionalFormatting>
  <hyperlinks>
    <hyperlink ref="A5" r:id="rId1" location="Index!B6" display="Index"/>
    <hyperlink ref="B31" location="'1'!B6" display="1. Inputs"/>
    <hyperlink ref="B32" location="'2a'!B6" display="2a. Components of allowed revenue"/>
    <hyperlink ref="B33" location="'2b'!B6" display="2b. Base revenue"/>
    <hyperlink ref="B34" location="'2c'!B6" display="2c. Pass through"/>
    <hyperlink ref="B35" location="'2d'!B6" display="2d. Availability performance"/>
    <hyperlink ref="B36" location="'2e'!B6" display="2e. Correction factor"/>
    <hyperlink ref="B37" location="'2f'!B6" display="2f. Summary of all components of allowed revenue"/>
    <hyperlink ref="B38" location="'3a'!B6" display="3a. Excluded and de minimis revenue"/>
    <hyperlink ref="B39" location="'3b'!B6" display="3b. Total revenue (including excluded services)"/>
    <hyperlink ref="B40" location="'3c'!B6" display="3c. Reconciliation between OFTO's Regulated Revenue and Allowed Revenue (ARt)"/>
    <hyperlink ref="B41" location="'4a'!B6" display="4a. Monthly performance incentive calculations"/>
    <hyperlink ref="B42" location="'4b'!B6" display="4b. Annual performance incentive calculations "/>
    <hyperlink ref="B43" location="'5a'!B6" display="5a. Planned outages"/>
    <hyperlink ref="B44" location="'5b'!B6" display="5b. Unplanned outages"/>
    <hyperlink ref="B45" location="'5c'!B6" display="5c. Outages the OFTO has requested be exlcuded from availability incentive calculation"/>
    <hyperlink ref="B46" location="'6'!B6" display="6. Basis for TRSt "/>
    <hyperlink ref="B47" location="'7'!B6" display="7. Summary of forecast allowed revenue"/>
    <hyperlink ref="B48" location="'8'!B6" display="8. Transmission System Availability Payment "/>
  </hyperlinks>
  <pageMargins left="0.25" right="0.25" top="0.75" bottom="0.75" header="0.3" footer="0.3"/>
  <pageSetup paperSize="8" orientation="landscape" r:id="rId2"/>
  <drawing r:id="rId3"/>
</worksheet>
</file>

<file path=xl/worksheets/sheet20.xml><?xml version="1.0" encoding="utf-8"?>
<worksheet xmlns="http://schemas.openxmlformats.org/spreadsheetml/2006/main" xmlns:r="http://schemas.openxmlformats.org/officeDocument/2006/relationships">
  <sheetPr codeName="Sheet21">
    <pageSetUpPr fitToPage="1"/>
  </sheetPr>
  <dimension ref="A1:P275"/>
  <sheetViews>
    <sheetView zoomScale="90" zoomScaleNormal="90" workbookViewId="0">
      <selection activeCell="I11" sqref="I11"/>
    </sheetView>
  </sheetViews>
  <sheetFormatPr defaultColWidth="0" defaultRowHeight="12.75" zeroHeight="1"/>
  <cols>
    <col min="1" max="1" width="20.6640625" style="43" customWidth="1"/>
    <col min="2" max="3" width="9.33203125" style="43" customWidth="1"/>
    <col min="4" max="4" width="15.83203125" style="43" customWidth="1"/>
    <col min="5" max="8" width="9.33203125" style="43" customWidth="1"/>
    <col min="9" max="9" width="9.83203125" style="43" bestFit="1" customWidth="1"/>
    <col min="10" max="11" width="9.33203125" style="43" customWidth="1"/>
    <col min="12" max="12" width="25.83203125" style="43" customWidth="1"/>
    <col min="13" max="13" width="17.83203125" style="43" customWidth="1"/>
    <col min="14" max="16" width="0" style="43" hidden="1" customWidth="1"/>
    <col min="17" max="16384" width="9.33203125" style="43" hidden="1"/>
  </cols>
  <sheetData>
    <row r="1" spans="1:11" s="356" customFormat="1" ht="27.75" customHeight="1">
      <c r="D1" s="357" t="s">
        <v>185</v>
      </c>
    </row>
    <row r="2" spans="1:11" s="356" customFormat="1" ht="18" customHeight="1">
      <c r="D2" s="356" t="s">
        <v>169</v>
      </c>
      <c r="E2" s="358" t="str">
        <f>'Universal data'!$D$11</f>
        <v>Demo sands</v>
      </c>
    </row>
    <row r="3" spans="1:11" s="356" customFormat="1" ht="18" customHeight="1">
      <c r="D3" s="356" t="s">
        <v>170</v>
      </c>
      <c r="E3" s="358" t="str">
        <f>'Universal data'!$D$9</f>
        <v>[Offshore transmission operator 1]</v>
      </c>
      <c r="G3" s="360"/>
      <c r="H3" s="360"/>
      <c r="K3" s="360"/>
    </row>
    <row r="4" spans="1:11" s="356" customFormat="1" ht="18" customHeight="1">
      <c r="D4" s="356" t="s">
        <v>171</v>
      </c>
      <c r="E4" s="358" t="str">
        <f>'Universal data'!$D$12-1&amp;"-"&amp;'Universal data'!$D$12-2000</f>
        <v>2012-13</v>
      </c>
      <c r="G4" s="360"/>
      <c r="H4" s="360"/>
      <c r="K4" s="360"/>
    </row>
    <row r="5" spans="1:11">
      <c r="A5" s="26" t="s">
        <v>251</v>
      </c>
    </row>
    <row r="6" spans="1:11" ht="18">
      <c r="B6" s="193" t="s">
        <v>248</v>
      </c>
    </row>
    <row r="7" spans="1:11">
      <c r="A7" s="43" t="s">
        <v>266</v>
      </c>
    </row>
    <row r="8" spans="1:11">
      <c r="A8" s="379" t="s">
        <v>267</v>
      </c>
    </row>
    <row r="9" spans="1:11">
      <c r="A9" s="255"/>
      <c r="B9" s="76"/>
      <c r="C9" s="76"/>
      <c r="D9" s="76"/>
      <c r="E9" s="76"/>
      <c r="F9" s="77"/>
      <c r="G9" s="76"/>
      <c r="H9" s="76"/>
      <c r="I9" s="78" t="s">
        <v>136</v>
      </c>
    </row>
    <row r="10" spans="1:11">
      <c r="A10" s="255" t="s">
        <v>268</v>
      </c>
      <c r="B10" s="79"/>
      <c r="C10" s="76"/>
      <c r="D10" s="76"/>
      <c r="E10" s="76"/>
      <c r="F10" s="77"/>
      <c r="G10" s="76"/>
      <c r="H10" s="76"/>
      <c r="I10" s="78"/>
    </row>
    <row r="11" spans="1:11">
      <c r="A11" s="379" t="s">
        <v>269</v>
      </c>
      <c r="B11" s="46" t="s">
        <v>135</v>
      </c>
      <c r="C11" s="76"/>
      <c r="D11" s="76"/>
      <c r="E11" s="76"/>
      <c r="F11" s="77"/>
      <c r="G11" s="76"/>
      <c r="H11" s="76"/>
      <c r="I11" s="197"/>
    </row>
    <row r="12" spans="1:11">
      <c r="A12" s="414"/>
      <c r="B12" s="76"/>
      <c r="C12" s="76"/>
      <c r="D12" s="76"/>
      <c r="E12" s="76"/>
      <c r="F12" s="77"/>
      <c r="G12" s="77"/>
      <c r="H12" s="76"/>
      <c r="I12" s="80"/>
    </row>
    <row r="13" spans="1:11">
      <c r="A13" s="415" t="b">
        <v>0</v>
      </c>
      <c r="B13" s="79" t="s">
        <v>137</v>
      </c>
      <c r="C13" s="76"/>
      <c r="D13" s="76"/>
      <c r="E13" s="76"/>
      <c r="F13" s="77"/>
      <c r="G13" s="76"/>
      <c r="H13" s="76"/>
      <c r="I13" s="76"/>
    </row>
    <row r="14" spans="1:11" ht="12.75" customHeight="1">
      <c r="C14" s="552"/>
      <c r="D14" s="555"/>
      <c r="E14" s="555"/>
      <c r="F14" s="555"/>
      <c r="G14" s="556"/>
      <c r="H14" s="76"/>
      <c r="I14" s="197"/>
    </row>
    <row r="15" spans="1:11" ht="12.75" customHeight="1">
      <c r="C15" s="552"/>
      <c r="D15" s="555"/>
      <c r="E15" s="555"/>
      <c r="F15" s="555"/>
      <c r="G15" s="556"/>
      <c r="H15" s="76"/>
      <c r="I15" s="197"/>
    </row>
    <row r="16" spans="1:11" ht="12.75" customHeight="1">
      <c r="A16" s="420"/>
      <c r="C16" s="552"/>
      <c r="D16" s="555"/>
      <c r="E16" s="555"/>
      <c r="F16" s="555"/>
      <c r="G16" s="556"/>
      <c r="H16" s="76"/>
      <c r="I16" s="197"/>
    </row>
    <row r="17" spans="2:12" ht="12.75" customHeight="1">
      <c r="C17" s="552"/>
      <c r="D17" s="555"/>
      <c r="E17" s="555"/>
      <c r="F17" s="555"/>
      <c r="G17" s="556"/>
      <c r="H17" s="76"/>
      <c r="I17" s="197"/>
    </row>
    <row r="18" spans="2:12" ht="12.75" customHeight="1">
      <c r="C18" s="552"/>
      <c r="D18" s="555"/>
      <c r="E18" s="555"/>
      <c r="F18" s="555"/>
      <c r="G18" s="556"/>
      <c r="H18" s="76"/>
      <c r="I18" s="197"/>
    </row>
    <row r="19" spans="2:12" ht="12.75" customHeight="1">
      <c r="C19" s="552"/>
      <c r="D19" s="555"/>
      <c r="E19" s="555"/>
      <c r="F19" s="555"/>
      <c r="G19" s="556"/>
      <c r="H19" s="76"/>
      <c r="I19" s="197"/>
    </row>
    <row r="20" spans="2:12" ht="12.75" customHeight="1">
      <c r="C20" s="552"/>
      <c r="D20" s="555"/>
      <c r="E20" s="555"/>
      <c r="F20" s="555"/>
      <c r="G20" s="556"/>
      <c r="H20" s="76"/>
      <c r="I20" s="197"/>
    </row>
    <row r="21" spans="2:12"/>
    <row r="22" spans="2:12" ht="13.5" thickBot="1">
      <c r="B22" s="46" t="s">
        <v>217</v>
      </c>
      <c r="C22" s="76"/>
      <c r="D22" s="76"/>
      <c r="E22" s="76"/>
      <c r="F22" s="77"/>
      <c r="G22" s="76"/>
      <c r="H22" s="76"/>
      <c r="I22" s="209">
        <f>SUM(I14:I20)+I11</f>
        <v>0</v>
      </c>
    </row>
    <row r="23" spans="2:12"/>
    <row r="24" spans="2:12"/>
    <row r="25" spans="2:12">
      <c r="C25" s="79" t="s">
        <v>116</v>
      </c>
      <c r="D25" s="76"/>
      <c r="E25" s="76"/>
      <c r="F25" s="76"/>
      <c r="G25" s="77"/>
      <c r="H25" s="76"/>
      <c r="I25" s="76"/>
      <c r="J25" s="76"/>
      <c r="K25" s="76"/>
      <c r="L25" s="76"/>
    </row>
    <row r="26" spans="2:12">
      <c r="B26" s="76"/>
      <c r="C26" s="76"/>
      <c r="D26" s="76"/>
      <c r="E26" s="76"/>
      <c r="F26" s="76"/>
      <c r="G26" s="77"/>
      <c r="H26" s="76"/>
      <c r="I26" s="76"/>
      <c r="J26" s="76"/>
      <c r="K26" s="76"/>
      <c r="L26" s="76"/>
    </row>
    <row r="27" spans="2:12">
      <c r="B27" s="43">
        <v>1</v>
      </c>
      <c r="C27" s="545"/>
      <c r="D27" s="546"/>
      <c r="E27" s="546"/>
      <c r="F27" s="546"/>
      <c r="G27" s="546"/>
      <c r="H27" s="546"/>
      <c r="I27" s="546"/>
      <c r="J27" s="546"/>
      <c r="K27" s="546"/>
      <c r="L27" s="547"/>
    </row>
    <row r="28" spans="2:12">
      <c r="B28" s="43">
        <v>2</v>
      </c>
      <c r="C28" s="545"/>
      <c r="D28" s="546"/>
      <c r="E28" s="546"/>
      <c r="F28" s="546"/>
      <c r="G28" s="546"/>
      <c r="H28" s="546"/>
      <c r="I28" s="546"/>
      <c r="J28" s="546"/>
      <c r="K28" s="546"/>
      <c r="L28" s="547"/>
    </row>
    <row r="29" spans="2:12">
      <c r="B29" s="43">
        <v>3</v>
      </c>
      <c r="C29" s="545"/>
      <c r="D29" s="546"/>
      <c r="E29" s="546"/>
      <c r="F29" s="546"/>
      <c r="G29" s="546"/>
      <c r="H29" s="546"/>
      <c r="I29" s="546"/>
      <c r="J29" s="546"/>
      <c r="K29" s="546"/>
      <c r="L29" s="547"/>
    </row>
    <row r="30" spans="2:12">
      <c r="B30" s="43">
        <v>4</v>
      </c>
      <c r="C30" s="545"/>
      <c r="D30" s="546"/>
      <c r="E30" s="546"/>
      <c r="F30" s="546"/>
      <c r="G30" s="546"/>
      <c r="H30" s="546"/>
      <c r="I30" s="546"/>
      <c r="J30" s="546"/>
      <c r="K30" s="546"/>
      <c r="L30" s="547"/>
    </row>
    <row r="31" spans="2:12">
      <c r="B31" s="43">
        <v>5</v>
      </c>
      <c r="C31" s="545"/>
      <c r="D31" s="546"/>
      <c r="E31" s="546"/>
      <c r="F31" s="546"/>
      <c r="G31" s="546"/>
      <c r="H31" s="546"/>
      <c r="I31" s="546"/>
      <c r="J31" s="546"/>
      <c r="K31" s="546"/>
      <c r="L31" s="547"/>
    </row>
    <row r="32" spans="2:12">
      <c r="B32" s="43">
        <v>6</v>
      </c>
      <c r="C32" s="545"/>
      <c r="D32" s="546"/>
      <c r="E32" s="546"/>
      <c r="F32" s="546"/>
      <c r="G32" s="546"/>
      <c r="H32" s="546"/>
      <c r="I32" s="546"/>
      <c r="J32" s="546"/>
      <c r="K32" s="546"/>
      <c r="L32" s="547"/>
    </row>
    <row r="33" spans="2:12">
      <c r="B33" s="43">
        <v>7</v>
      </c>
      <c r="C33" s="545"/>
      <c r="D33" s="546"/>
      <c r="E33" s="546"/>
      <c r="F33" s="546"/>
      <c r="G33" s="546"/>
      <c r="H33" s="546"/>
      <c r="I33" s="546"/>
      <c r="J33" s="546"/>
      <c r="K33" s="546"/>
      <c r="L33" s="547"/>
    </row>
    <row r="34" spans="2:12"/>
    <row r="35" spans="2:12" hidden="1"/>
    <row r="36" spans="2:12" hidden="1"/>
    <row r="37" spans="2:12" hidden="1"/>
    <row r="38" spans="2:12" hidden="1"/>
    <row r="39" spans="2:12" hidden="1"/>
    <row r="40" spans="2:12" hidden="1"/>
    <row r="41" spans="2:12" hidden="1"/>
    <row r="42" spans="2:12" hidden="1"/>
    <row r="43" spans="2:12" hidden="1"/>
    <row r="44" spans="2:12" hidden="1"/>
    <row r="45" spans="2:12" hidden="1"/>
    <row r="46" spans="2:12" hidden="1"/>
    <row r="47" spans="2:12" hidden="1"/>
    <row r="48" spans="2:12"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sheetData>
  <sheetProtection sheet="1" objects="1" scenarios="1"/>
  <mergeCells count="14">
    <mergeCell ref="C31:L31"/>
    <mergeCell ref="C32:L32"/>
    <mergeCell ref="C33:L33"/>
    <mergeCell ref="C20:G20"/>
    <mergeCell ref="C19:G19"/>
    <mergeCell ref="C27:L27"/>
    <mergeCell ref="C28:L28"/>
    <mergeCell ref="C29:L29"/>
    <mergeCell ref="C30:L30"/>
    <mergeCell ref="C14:G14"/>
    <mergeCell ref="C15:G15"/>
    <mergeCell ref="C16:G16"/>
    <mergeCell ref="C17:G17"/>
    <mergeCell ref="C18:G18"/>
  </mergeCells>
  <conditionalFormatting sqref="A8 A11">
    <cfRule type="cellIs" dxfId="5" priority="3" operator="equal">
      <formula>"O"</formula>
    </cfRule>
    <cfRule type="cellIs" dxfId="4" priority="4" operator="equal">
      <formula>"P"</formula>
    </cfRule>
  </conditionalFormatting>
  <hyperlinks>
    <hyperlink ref="A5" location="'Sign off'!A1" display="Index"/>
  </hyperlinks>
  <printOptions horizontalCentered="1" headings="1"/>
  <pageMargins left="0" right="0" top="0" bottom="0.35433070866141736" header="0" footer="0"/>
  <pageSetup paperSize="8" orientation="landscape" r:id="rId1"/>
  <headerFooter>
    <oddFooter>&amp;L&amp;Z&amp;F&amp;A&amp;C&amp;P&amp;R&amp;D</oddFooter>
  </headerFooter>
  <drawing r:id="rId2"/>
  <legacyDrawing r:id="rId3"/>
</worksheet>
</file>

<file path=xl/worksheets/sheet21.xml><?xml version="1.0" encoding="utf-8"?>
<worksheet xmlns="http://schemas.openxmlformats.org/spreadsheetml/2006/main" xmlns:r="http://schemas.openxmlformats.org/officeDocument/2006/relationships">
  <sheetPr codeName="Sheet2">
    <pageSetUpPr fitToPage="1"/>
  </sheetPr>
  <dimension ref="A1:AC276"/>
  <sheetViews>
    <sheetView zoomScale="90" zoomScaleNormal="90" workbookViewId="0">
      <selection activeCell="A32" sqref="A32"/>
    </sheetView>
  </sheetViews>
  <sheetFormatPr defaultColWidth="0" defaultRowHeight="12.75" zeroHeight="1"/>
  <cols>
    <col min="1" max="1" width="20.6640625" style="255" customWidth="1"/>
    <col min="2" max="2" width="11.83203125" style="255" customWidth="1"/>
    <col min="3" max="3" width="64.33203125" style="255" bestFit="1" customWidth="1"/>
    <col min="4" max="4" width="15.83203125" style="255" customWidth="1"/>
    <col min="5" max="5" width="12.1640625" style="255" customWidth="1"/>
    <col min="6" max="6" width="12.83203125" style="255" customWidth="1"/>
    <col min="7" max="7" width="10.6640625" style="255" customWidth="1"/>
    <col min="8" max="8" width="55.6640625" style="255" bestFit="1" customWidth="1"/>
    <col min="9" max="9" width="15.83203125" style="257" customWidth="1"/>
    <col min="10" max="10" width="12.33203125" style="257" customWidth="1"/>
    <col min="11" max="11" width="11.6640625" style="255" customWidth="1"/>
    <col min="12" max="12" width="10.6640625" style="255" customWidth="1"/>
    <col min="13" max="29" width="10.6640625" style="255" hidden="1" customWidth="1"/>
    <col min="30" max="16384" width="11.83203125" style="255" hidden="1"/>
  </cols>
  <sheetData>
    <row r="1" spans="1:14" s="356" customFormat="1" ht="27.75" customHeight="1">
      <c r="C1" s="357" t="s">
        <v>185</v>
      </c>
    </row>
    <row r="2" spans="1:14" s="356" customFormat="1" ht="18" customHeight="1">
      <c r="C2" s="356" t="s">
        <v>169</v>
      </c>
      <c r="D2" s="358" t="str">
        <f>'Universal data'!$D$11</f>
        <v>Demo sands</v>
      </c>
      <c r="E2" s="358"/>
    </row>
    <row r="3" spans="1:14" s="356" customFormat="1" ht="18" customHeight="1">
      <c r="C3" s="356" t="s">
        <v>170</v>
      </c>
      <c r="D3" s="358" t="str">
        <f>'Universal data'!$D$9</f>
        <v>[Offshore transmission operator 1]</v>
      </c>
      <c r="E3" s="358"/>
      <c r="I3" s="360"/>
      <c r="J3" s="360"/>
      <c r="K3" s="360"/>
      <c r="N3" s="360"/>
    </row>
    <row r="4" spans="1:14" s="356" customFormat="1" ht="18" customHeight="1">
      <c r="C4" s="356" t="s">
        <v>171</v>
      </c>
      <c r="D4" s="358" t="str">
        <f>'Universal data'!$D$12-1&amp;"-"&amp;'Universal data'!$D$12-2000</f>
        <v>2012-13</v>
      </c>
      <c r="E4" s="358"/>
      <c r="I4" s="360"/>
      <c r="J4" s="360"/>
      <c r="K4" s="360"/>
      <c r="N4" s="360"/>
    </row>
    <row r="5" spans="1:14">
      <c r="A5" s="26" t="s">
        <v>251</v>
      </c>
      <c r="N5" s="272"/>
    </row>
    <row r="6" spans="1:14" ht="18">
      <c r="B6" s="258" t="s">
        <v>249</v>
      </c>
    </row>
    <row r="7" spans="1:14">
      <c r="A7" s="255" t="s">
        <v>266</v>
      </c>
      <c r="D7" s="287"/>
      <c r="E7" s="287"/>
      <c r="M7" s="272"/>
    </row>
    <row r="8" spans="1:14" s="257" customFormat="1">
      <c r="A8" s="450" t="s">
        <v>267</v>
      </c>
      <c r="D8" s="288"/>
      <c r="E8" s="288" t="s">
        <v>290</v>
      </c>
      <c r="F8" s="288" t="s">
        <v>138</v>
      </c>
      <c r="J8" s="288" t="s">
        <v>290</v>
      </c>
      <c r="K8" s="288" t="s">
        <v>291</v>
      </c>
    </row>
    <row r="9" spans="1:14" s="257" customFormat="1">
      <c r="D9" s="288"/>
      <c r="E9" s="288">
        <f>'Universal data'!D12-1</f>
        <v>2012</v>
      </c>
      <c r="F9" s="289">
        <f>'Universal data'!D12</f>
        <v>2013</v>
      </c>
      <c r="J9" s="288">
        <f>'Universal data'!D12</f>
        <v>2013</v>
      </c>
      <c r="K9" s="288">
        <f>'Universal data'!D12</f>
        <v>2013</v>
      </c>
    </row>
    <row r="10" spans="1:14" s="257" customFormat="1" ht="14.25">
      <c r="A10" s="255" t="s">
        <v>268</v>
      </c>
      <c r="C10" s="290"/>
      <c r="D10" s="291"/>
      <c r="E10" s="291"/>
      <c r="F10" s="291"/>
      <c r="H10" s="292" t="s">
        <v>104</v>
      </c>
      <c r="I10" s="293" t="s">
        <v>187</v>
      </c>
      <c r="J10" s="342">
        <f>HLOOKUP(J9,'2f'!F8:AA33,26,FALSE)</f>
        <v>0</v>
      </c>
      <c r="K10" s="343">
        <f>HLOOKUP(K9,'2f'!G8:AB33,26,FALSE)</f>
        <v>0</v>
      </c>
    </row>
    <row r="11" spans="1:14" ht="25.5">
      <c r="A11" s="379" t="s">
        <v>269</v>
      </c>
      <c r="C11" s="294" t="s">
        <v>68</v>
      </c>
      <c r="D11" s="293" t="s">
        <v>188</v>
      </c>
      <c r="E11" s="342">
        <f>HLOOKUP(E9,'2f'!F8:AA10,3,FALSE)</f>
        <v>0</v>
      </c>
      <c r="F11" s="347">
        <f>HLOOKUP(F9,'2f'!G8:AB10,3,FALSE)</f>
        <v>0</v>
      </c>
      <c r="H11" s="295" t="s">
        <v>309</v>
      </c>
      <c r="I11" s="296"/>
      <c r="J11" s="296"/>
      <c r="K11" s="297"/>
    </row>
    <row r="12" spans="1:14" s="287" customFormat="1" ht="14.25">
      <c r="A12" s="414"/>
      <c r="C12" s="295" t="s">
        <v>306</v>
      </c>
      <c r="D12" s="298"/>
      <c r="E12" s="298"/>
      <c r="F12" s="299"/>
      <c r="H12" s="271" t="s">
        <v>74</v>
      </c>
      <c r="I12" s="300" t="s">
        <v>189</v>
      </c>
      <c r="J12" s="338">
        <f>HLOOKUP(J9,'2f'!F8:AA35,28,FALSE)</f>
        <v>0</v>
      </c>
      <c r="K12" s="349">
        <f>HLOOKUP(K9,'2f'!G8:AB35,28,FALSE)</f>
        <v>0</v>
      </c>
    </row>
    <row r="13" spans="1:14" ht="14.25">
      <c r="A13" s="415" t="b">
        <v>0</v>
      </c>
      <c r="C13" s="294" t="s">
        <v>67</v>
      </c>
      <c r="D13" s="293" t="s">
        <v>190</v>
      </c>
      <c r="E13" s="342">
        <f>HLOOKUP(E9,'2f'!F8:AA12,5,FALSE)</f>
        <v>0</v>
      </c>
      <c r="F13" s="347">
        <f>HLOOKUP(F9,'2f'!G8:AB12,5,FALSE)</f>
        <v>0</v>
      </c>
      <c r="H13" s="295" t="s">
        <v>61</v>
      </c>
      <c r="I13" s="296"/>
      <c r="J13" s="296"/>
      <c r="K13" s="301"/>
    </row>
    <row r="14" spans="1:14" s="287" customFormat="1" ht="14.25">
      <c r="A14" s="255"/>
      <c r="C14" s="123" t="s">
        <v>226</v>
      </c>
      <c r="D14" s="302"/>
      <c r="E14" s="334"/>
      <c r="F14" s="337"/>
      <c r="H14" s="271" t="s">
        <v>109</v>
      </c>
      <c r="I14" s="303" t="s">
        <v>191</v>
      </c>
      <c r="J14" s="350">
        <f>HLOOKUP(J9,'2f'!F8:AA37,30,FALSE)</f>
        <v>0</v>
      </c>
      <c r="K14" s="351">
        <f>HLOOKUP(K9,'2f'!G8:AB37,30,FALSE)</f>
        <v>0</v>
      </c>
    </row>
    <row r="15" spans="1:14" ht="14.25">
      <c r="C15" s="304" t="s">
        <v>131</v>
      </c>
      <c r="D15" s="300" t="s">
        <v>1</v>
      </c>
      <c r="E15" s="340">
        <f>HLOOKUP(E9,'2f'!F8:AA14,7,FALSE)</f>
        <v>0</v>
      </c>
      <c r="F15" s="344">
        <f>HLOOKUP(F9,'2f'!G8:AB14,7,FALSE)</f>
        <v>0</v>
      </c>
      <c r="H15" s="271" t="s">
        <v>75</v>
      </c>
      <c r="I15" s="303" t="s">
        <v>192</v>
      </c>
      <c r="J15" s="341">
        <f>HLOOKUP(J9,'2f'!F8:AA38,31,FALSE)</f>
        <v>0</v>
      </c>
      <c r="K15" s="353">
        <f>HLOOKUP(K9,'2f'!G8:AB38,31,FALSE)</f>
        <v>0</v>
      </c>
    </row>
    <row r="16" spans="1:14">
      <c r="A16" s="449"/>
      <c r="C16" s="304" t="s">
        <v>134</v>
      </c>
      <c r="D16" s="300" t="s">
        <v>54</v>
      </c>
      <c r="E16" s="338">
        <f>HLOOKUP(E9,'2f'!F8:AA15,8,FALSE)</f>
        <v>0</v>
      </c>
      <c r="F16" s="345">
        <f>HLOOKUP(F9,'2f'!G8:AB15,8,FALSE)</f>
        <v>0</v>
      </c>
      <c r="H16" s="305"/>
      <c r="I16" s="302"/>
      <c r="J16" s="313"/>
      <c r="K16" s="306"/>
    </row>
    <row r="17" spans="1:11" ht="14.25">
      <c r="C17" s="304" t="s">
        <v>133</v>
      </c>
      <c r="D17" s="300" t="s">
        <v>5</v>
      </c>
      <c r="E17" s="338">
        <f>HLOOKUP(E9,'2f'!F8:AA16,9,FALSE)</f>
        <v>0</v>
      </c>
      <c r="F17" s="345">
        <f>HLOOKUP(F9,'2f'!G8:AB16,9,FALSE)</f>
        <v>0</v>
      </c>
      <c r="H17" s="307" t="s">
        <v>76</v>
      </c>
      <c r="I17" s="308" t="s">
        <v>193</v>
      </c>
      <c r="J17" s="338">
        <f>HLOOKUP(J9,'2f'!F8:AA40,33,FALSE)</f>
        <v>0</v>
      </c>
      <c r="K17" s="349">
        <f>HLOOKUP(K9,'2f'!G8:AB40,33,FALSE)</f>
        <v>0</v>
      </c>
    </row>
    <row r="18" spans="1:11" ht="14.25">
      <c r="C18" s="304" t="s">
        <v>65</v>
      </c>
      <c r="D18" s="300" t="s">
        <v>194</v>
      </c>
      <c r="E18" s="338">
        <f>HLOOKUP(E9,'2f'!F8:AA17,10,FALSE)</f>
        <v>1</v>
      </c>
      <c r="F18" s="345">
        <f>HLOOKUP(F9,'2f'!G8:AB17,10,FALSE)</f>
        <v>1</v>
      </c>
      <c r="H18" s="51" t="s">
        <v>323</v>
      </c>
      <c r="I18" s="302"/>
      <c r="J18" s="302"/>
      <c r="K18" s="309"/>
    </row>
    <row r="19" spans="1:11" ht="14.25">
      <c r="C19" s="310" t="s">
        <v>103</v>
      </c>
      <c r="D19" s="311" t="s">
        <v>195</v>
      </c>
      <c r="E19" s="339">
        <f>HLOOKUP(E9,'2f'!F8:AA18,11,FALSE)</f>
        <v>1</v>
      </c>
      <c r="F19" s="346">
        <f>HLOOKUP(F9,'2f'!G8:AB18,11,FALSE)</f>
        <v>1</v>
      </c>
      <c r="H19" s="304" t="s">
        <v>105</v>
      </c>
      <c r="I19" s="300" t="s">
        <v>196</v>
      </c>
      <c r="J19" s="338">
        <f>HLOOKUP(J9,'2f'!F8:AA42,35,FALSE)</f>
        <v>0</v>
      </c>
      <c r="K19" s="349">
        <f>HLOOKUP(K9,'2f'!G8:AB42,35,FALSE)</f>
        <v>0</v>
      </c>
    </row>
    <row r="20" spans="1:11" ht="14.25">
      <c r="C20" s="312" t="s">
        <v>197</v>
      </c>
      <c r="D20" s="313"/>
      <c r="E20" s="313"/>
      <c r="F20" s="314"/>
      <c r="H20" s="295" t="s">
        <v>106</v>
      </c>
      <c r="I20" s="296"/>
      <c r="J20" s="296"/>
      <c r="K20" s="297"/>
    </row>
    <row r="21" spans="1:11" ht="25.5">
      <c r="C21" s="310" t="s">
        <v>112</v>
      </c>
      <c r="D21" s="315" t="s">
        <v>198</v>
      </c>
      <c r="E21" s="341">
        <f>HLOOKUP(E9,'2f'!F8:AA20,13,FALSE)</f>
        <v>0</v>
      </c>
      <c r="F21" s="325">
        <f>HLOOKUP(F9,'2f'!G8:AB20,13,FALSE)</f>
        <v>0</v>
      </c>
      <c r="H21" s="304" t="s">
        <v>107</v>
      </c>
      <c r="I21" s="303" t="s">
        <v>199</v>
      </c>
      <c r="J21" s="338">
        <f>HLOOKUP(J9,'2f'!F8:AA44,37,FALSE)</f>
        <v>0</v>
      </c>
      <c r="K21" s="349">
        <f>HLOOKUP(K9,'2f'!G8:AB44,37,FALSE)</f>
        <v>0</v>
      </c>
    </row>
    <row r="22" spans="1:11">
      <c r="C22" s="316"/>
      <c r="D22" s="317"/>
      <c r="E22" s="317"/>
      <c r="F22" s="318"/>
      <c r="H22" s="319" t="s">
        <v>110</v>
      </c>
      <c r="I22" s="296"/>
      <c r="J22" s="296"/>
      <c r="K22" s="297"/>
    </row>
    <row r="23" spans="1:11" ht="25.5">
      <c r="C23" s="294" t="s">
        <v>85</v>
      </c>
      <c r="D23" s="293" t="s">
        <v>200</v>
      </c>
      <c r="E23" s="342">
        <f>HLOOKUP(E9,'2f'!F8:AA22,15,FALSE)</f>
        <v>0</v>
      </c>
      <c r="F23" s="347">
        <f>HLOOKUP(F9,'2f'!G8:AB22,15,FALSE)</f>
        <v>0</v>
      </c>
      <c r="H23" s="491" t="s">
        <v>326</v>
      </c>
      <c r="I23" s="303" t="s">
        <v>317</v>
      </c>
      <c r="J23" s="338">
        <f>HLOOKUP(J9,'2f'!F8:AA46,39,FALSE)</f>
        <v>0</v>
      </c>
      <c r="K23" s="349">
        <f>HLOOKUP(K9,'2f'!G8:AB46,39,FALSE)</f>
        <v>0</v>
      </c>
    </row>
    <row r="24" spans="1:11" s="287" customFormat="1" ht="14.25">
      <c r="A24" s="255"/>
      <c r="C24" s="123" t="s">
        <v>227</v>
      </c>
      <c r="D24" s="296"/>
      <c r="E24" s="335"/>
      <c r="F24" s="348"/>
      <c r="H24" s="295" t="s">
        <v>321</v>
      </c>
      <c r="I24" s="302"/>
      <c r="J24" s="302"/>
      <c r="K24" s="323"/>
    </row>
    <row r="25" spans="1:11" ht="14.25">
      <c r="C25" s="320" t="s">
        <v>69</v>
      </c>
      <c r="D25" s="321" t="s">
        <v>201</v>
      </c>
      <c r="E25" s="340">
        <f>HLOOKUP(E9,'2f'!F8:AA24,17,FALSE)</f>
        <v>0</v>
      </c>
      <c r="F25" s="344">
        <f>HLOOKUP(F9,'2f'!G8:AB24,17,FALSE)</f>
        <v>0</v>
      </c>
      <c r="H25" s="304" t="s">
        <v>63</v>
      </c>
      <c r="I25" s="303" t="s">
        <v>38</v>
      </c>
      <c r="J25" s="467">
        <f>HLOOKUP(J9,'2f'!F8:AA48,41,FALSE)</f>
        <v>0.31</v>
      </c>
      <c r="K25" s="470">
        <f>HLOOKUP(K9,'2f'!G8:AB48,41,FALSE)</f>
        <v>0.31</v>
      </c>
    </row>
    <row r="26" spans="1:11" ht="14.25">
      <c r="C26" s="304" t="s">
        <v>102</v>
      </c>
      <c r="D26" s="300" t="s">
        <v>202</v>
      </c>
      <c r="E26" s="338">
        <f>HLOOKUP(E9,'2f'!F8:AA25,18,FALSE)</f>
        <v>0</v>
      </c>
      <c r="F26" s="345">
        <f>HLOOKUP(F9,'2f'!G8:AB25,18,FALSE)</f>
        <v>0</v>
      </c>
      <c r="H26" s="493" t="s">
        <v>328</v>
      </c>
      <c r="I26" s="303" t="s">
        <v>62</v>
      </c>
      <c r="J26" s="468">
        <f>HLOOKUP(J9,'2f'!F8:AA49,42,FALSE)</f>
        <v>200</v>
      </c>
      <c r="K26" s="469">
        <f>HLOOKUP(K9,'2f'!G8:AB49,42,FALSE)</f>
        <v>200</v>
      </c>
    </row>
    <row r="27" spans="1:11" ht="14.25">
      <c r="C27" s="271" t="s">
        <v>92</v>
      </c>
      <c r="D27" s="300" t="s">
        <v>203</v>
      </c>
      <c r="E27" s="338">
        <f>HLOOKUP(E9,'2f'!F8:AA26,19,FALSE)</f>
        <v>0</v>
      </c>
      <c r="F27" s="345">
        <f>HLOOKUP(F9,'2f'!G8:AB26,19,FALSE)</f>
        <v>0</v>
      </c>
      <c r="H27" s="490" t="s">
        <v>327</v>
      </c>
      <c r="I27" s="474" t="s">
        <v>204</v>
      </c>
      <c r="J27" s="336">
        <f>HLOOKUP(J9,'2f'!F8:AA50,43,FALSE)</f>
        <v>0</v>
      </c>
      <c r="K27" s="349">
        <f>HLOOKUP(K9,'2f'!G8:AB50,43,FALSE)</f>
        <v>0</v>
      </c>
    </row>
    <row r="28" spans="1:11" ht="14.25">
      <c r="C28" s="271" t="s">
        <v>70</v>
      </c>
      <c r="D28" s="300" t="s">
        <v>205</v>
      </c>
      <c r="E28" s="338">
        <f>HLOOKUP(E9,'2f'!F8:AA27,20,FALSE)</f>
        <v>0</v>
      </c>
      <c r="F28" s="345">
        <f>HLOOKUP(F9,'2f'!G8:AB27,20,FALSE)</f>
        <v>0</v>
      </c>
      <c r="H28" s="310" t="s">
        <v>79</v>
      </c>
      <c r="I28" s="315" t="s">
        <v>206</v>
      </c>
      <c r="J28" s="336">
        <f>HLOOKUP(J9,'2f'!F8:AA51,44,FALSE)</f>
        <v>0</v>
      </c>
      <c r="K28" s="349">
        <f>HLOOKUP(K9,'2f'!G8:AB51,44,FALSE)</f>
        <v>0</v>
      </c>
    </row>
    <row r="29" spans="1:11" ht="14.25">
      <c r="C29" s="271" t="s">
        <v>93</v>
      </c>
      <c r="D29" s="300" t="s">
        <v>207</v>
      </c>
      <c r="E29" s="338">
        <f>HLOOKUP(E9,'2f'!F8:AA28,21,FALSE)</f>
        <v>0</v>
      </c>
      <c r="F29" s="345">
        <f>HLOOKUP(F9,'2f'!G8:AB28,21,FALSE)</f>
        <v>0</v>
      </c>
      <c r="H29" s="322"/>
      <c r="I29" s="298"/>
      <c r="J29" s="298"/>
      <c r="K29" s="318"/>
    </row>
    <row r="30" spans="1:11" ht="25.5">
      <c r="C30" s="271" t="s">
        <v>72</v>
      </c>
      <c r="D30" s="300" t="s">
        <v>208</v>
      </c>
      <c r="E30" s="338">
        <f>HLOOKUP(E9,'2f'!F8:AA29,22,FALSE)</f>
        <v>0</v>
      </c>
      <c r="F30" s="345">
        <f>HLOOKUP(F9,'2f'!G8:AB29,22,FALSE)</f>
        <v>0</v>
      </c>
      <c r="H30" s="292" t="s">
        <v>168</v>
      </c>
      <c r="I30" s="293" t="s">
        <v>209</v>
      </c>
      <c r="J30" s="342">
        <f>HLOOKUP(J9,'2f'!F8:AA54,47,FALSE)</f>
        <v>0</v>
      </c>
      <c r="K30" s="349">
        <f>HLOOKUP(K9,'2f'!G8:AB54,47,FALSE)</f>
        <v>0</v>
      </c>
    </row>
    <row r="31" spans="1:11" ht="14.25">
      <c r="C31" s="271" t="s">
        <v>94</v>
      </c>
      <c r="D31" s="300" t="s">
        <v>210</v>
      </c>
      <c r="E31" s="338">
        <f>HLOOKUP(E9,'2f'!F8:AA30,23,FALSE)</f>
        <v>0</v>
      </c>
      <c r="F31" s="345">
        <f>HLOOKUP(F9,'2f'!G8:AB30,23,FALSE)</f>
        <v>0</v>
      </c>
      <c r="H31" s="319" t="s">
        <v>211</v>
      </c>
      <c r="I31" s="296"/>
      <c r="J31" s="296"/>
      <c r="K31" s="297"/>
    </row>
    <row r="32" spans="1:11" ht="14.25">
      <c r="C32" s="324" t="s">
        <v>71</v>
      </c>
      <c r="D32" s="311" t="s">
        <v>212</v>
      </c>
      <c r="E32" s="339">
        <f>HLOOKUP(E9,'2f'!F8:AA31,24,FALSE)</f>
        <v>0</v>
      </c>
      <c r="F32" s="346">
        <f>HLOOKUP(F9,'2f'!G8:AB31,24,FALSE)</f>
        <v>0</v>
      </c>
      <c r="H32" s="304" t="s">
        <v>80</v>
      </c>
      <c r="I32" s="300" t="s">
        <v>213</v>
      </c>
      <c r="J32" s="338">
        <f>HLOOKUP(J9,'2f'!F8:AA56,49,FALSE)</f>
        <v>0</v>
      </c>
      <c r="K32" s="354">
        <f>HLOOKUP(K9,'2f'!G8:AB56,49,FALSE)</f>
        <v>0</v>
      </c>
    </row>
    <row r="33" spans="1:11" ht="14.25">
      <c r="C33" s="316"/>
      <c r="D33" s="298"/>
      <c r="E33" s="298"/>
      <c r="F33" s="299"/>
      <c r="H33" s="304" t="s">
        <v>64</v>
      </c>
      <c r="I33" s="300" t="s">
        <v>214</v>
      </c>
      <c r="J33" s="338">
        <f>HLOOKUP(J9,'2f'!F8:AA57,50,FALSE)</f>
        <v>0</v>
      </c>
      <c r="K33" s="354">
        <f>HLOOKUP(K9,'2f'!G8:AB57,50,FALSE)</f>
        <v>0</v>
      </c>
    </row>
    <row r="34" spans="1:11" ht="14.25">
      <c r="H34" s="304" t="s">
        <v>108</v>
      </c>
      <c r="I34" s="300" t="s">
        <v>215</v>
      </c>
      <c r="J34" s="350">
        <f>HLOOKUP(J9,'2f'!F8:AA58,51,FALSE)</f>
        <v>5.0000000000000001E-3</v>
      </c>
      <c r="K34" s="352">
        <f>HLOOKUP(K9,'2f'!G8:AB58,51,FALSE)</f>
        <v>5.0000000000000001E-3</v>
      </c>
    </row>
    <row r="35" spans="1:11" s="287" customFormat="1">
      <c r="A35" s="255"/>
      <c r="D35" s="288"/>
      <c r="E35" s="288"/>
      <c r="H35" s="271" t="s">
        <v>111</v>
      </c>
      <c r="I35" s="300" t="s">
        <v>126</v>
      </c>
      <c r="J35" s="338">
        <f>HLOOKUP(J9,'2f'!F8:AA59,52,FALSE)</f>
        <v>0</v>
      </c>
      <c r="K35" s="354">
        <f>HLOOKUP(K9,'2f'!G8:AB59,52,FALSE)</f>
        <v>0</v>
      </c>
    </row>
    <row r="36" spans="1:11" ht="14.25">
      <c r="H36" s="310" t="s">
        <v>87</v>
      </c>
      <c r="I36" s="300" t="s">
        <v>216</v>
      </c>
      <c r="J36" s="341">
        <f>HLOOKUP(J9,'2f'!F8:AA60,53,FALSE)</f>
        <v>0.04</v>
      </c>
      <c r="K36" s="353">
        <f>HLOOKUP(K9,'2f'!G8:AB60,53,FALSE)</f>
        <v>0.04</v>
      </c>
    </row>
    <row r="37" spans="1:11">
      <c r="H37" s="326"/>
      <c r="I37" s="302"/>
      <c r="J37" s="313"/>
      <c r="K37" s="355"/>
    </row>
    <row r="38" spans="1:11">
      <c r="H38" s="307" t="s">
        <v>316</v>
      </c>
      <c r="I38" s="293"/>
      <c r="J38" s="338">
        <f>HLOOKUP(J9,'2f'!F8:AA62,55,FALSE)</f>
        <v>0</v>
      </c>
      <c r="K38" s="349">
        <f>HLOOKUP(K9,'2f'!G8:AB62,55,FALSE)</f>
        <v>0</v>
      </c>
    </row>
    <row r="39" spans="1:11">
      <c r="H39" s="327"/>
      <c r="I39" s="302"/>
      <c r="J39" s="302"/>
      <c r="K39" s="327"/>
    </row>
    <row r="40" spans="1:11"/>
    <row r="41" spans="1:11" hidden="1"/>
    <row r="42" spans="1:11" hidden="1"/>
    <row r="43" spans="1:11" hidden="1"/>
    <row r="44" spans="1:11" hidden="1"/>
    <row r="45" spans="1:11" hidden="1"/>
    <row r="46" spans="1:11" hidden="1"/>
    <row r="47" spans="1:11" hidden="1"/>
    <row r="48" spans="1:11" hidden="1"/>
    <row r="49" spans="1:10" hidden="1"/>
    <row r="50" spans="1:10" hidden="1"/>
    <row r="51" spans="1:10" hidden="1"/>
    <row r="52" spans="1:10" hidden="1"/>
    <row r="53" spans="1:10" hidden="1"/>
    <row r="54" spans="1:10" hidden="1"/>
    <row r="55" spans="1:10" s="287" customFormat="1" hidden="1">
      <c r="A55" s="255"/>
      <c r="I55" s="288"/>
      <c r="J55" s="288"/>
    </row>
    <row r="56" spans="1:10" hidden="1"/>
    <row r="57" spans="1:10" hidden="1"/>
    <row r="58" spans="1:10" hidden="1"/>
    <row r="59" spans="1:10" hidden="1"/>
    <row r="60" spans="1:10" hidden="1"/>
    <row r="61" spans="1:10" hidden="1"/>
    <row r="62" spans="1:10" hidden="1"/>
    <row r="63" spans="1:10" hidden="1"/>
    <row r="64" spans="1:10" hidden="1"/>
    <row r="65" spans="4:6" hidden="1"/>
    <row r="66" spans="4:6" hidden="1"/>
    <row r="67" spans="4:6" hidden="1"/>
    <row r="68" spans="4:6" hidden="1">
      <c r="D68" s="328"/>
      <c r="E68" s="328"/>
      <c r="F68" s="329"/>
    </row>
    <row r="69" spans="4:6" hidden="1">
      <c r="D69" s="328"/>
      <c r="E69" s="328"/>
    </row>
    <row r="70" spans="4:6" hidden="1"/>
    <row r="71" spans="4:6" hidden="1"/>
    <row r="72" spans="4:6" hidden="1"/>
    <row r="73" spans="4:6" hidden="1"/>
    <row r="74" spans="4:6" hidden="1"/>
    <row r="75" spans="4:6" hidden="1"/>
    <row r="76" spans="4:6" hidden="1"/>
    <row r="77" spans="4:6" hidden="1"/>
    <row r="78" spans="4:6" hidden="1"/>
    <row r="79" spans="4:6" hidden="1"/>
    <row r="80" spans="4:6"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sheetData>
  <conditionalFormatting sqref="A8 A11">
    <cfRule type="cellIs" dxfId="3" priority="3" operator="equal">
      <formula>"O"</formula>
    </cfRule>
    <cfRule type="cellIs" dxfId="2" priority="4" operator="equal">
      <formula>"P"</formula>
    </cfRule>
  </conditionalFormatting>
  <hyperlinks>
    <hyperlink ref="A5" location="'Sign off'!A1" display="Index"/>
  </hyperlinks>
  <printOptions horizontalCentered="1" headings="1"/>
  <pageMargins left="0" right="0" top="0" bottom="0.39370078740157483" header="0" footer="0"/>
  <pageSetup paperSize="8" scale="78"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sheetPr codeName="Sheet22">
    <pageSetUpPr fitToPage="1"/>
  </sheetPr>
  <dimension ref="A1:Q275"/>
  <sheetViews>
    <sheetView zoomScale="90" zoomScaleNormal="90" workbookViewId="0">
      <selection activeCell="A8" sqref="A8"/>
    </sheetView>
  </sheetViews>
  <sheetFormatPr defaultColWidth="0" defaultRowHeight="12.75" zeroHeight="1"/>
  <cols>
    <col min="1" max="1" width="20.6640625" style="28" customWidth="1"/>
    <col min="2" max="2" width="9.33203125" style="28" customWidth="1"/>
    <col min="3" max="3" width="32.1640625" style="28" customWidth="1"/>
    <col min="4" max="4" width="23.6640625" style="28" customWidth="1"/>
    <col min="5" max="5" width="24" style="28" customWidth="1"/>
    <col min="6" max="6" width="26.33203125" style="28" customWidth="1"/>
    <col min="7" max="7" width="55.83203125" style="28" customWidth="1"/>
    <col min="8" max="8" width="20.33203125" style="28" hidden="1" customWidth="1"/>
    <col min="9" max="9" width="21.1640625" style="28" hidden="1" customWidth="1"/>
    <col min="10" max="11" width="20.83203125" style="28" hidden="1" customWidth="1"/>
    <col min="12" max="12" width="21" style="28" hidden="1" customWidth="1"/>
    <col min="13" max="13" width="22.1640625" style="28" hidden="1" customWidth="1"/>
    <col min="14" max="14" width="14.33203125" style="28" hidden="1" customWidth="1"/>
    <col min="15" max="17" width="0" style="28" hidden="1" customWidth="1"/>
    <col min="18" max="16384" width="9.33203125" style="28" hidden="1"/>
  </cols>
  <sheetData>
    <row r="1" spans="1:13" s="1" customFormat="1" ht="27.75" customHeight="1">
      <c r="E1" s="2" t="s">
        <v>185</v>
      </c>
    </row>
    <row r="2" spans="1:13" s="1" customFormat="1" ht="18" customHeight="1">
      <c r="E2" s="1" t="s">
        <v>169</v>
      </c>
      <c r="F2" s="3" t="str">
        <f>'Universal data'!$D$11</f>
        <v>Demo sands</v>
      </c>
    </row>
    <row r="3" spans="1:13" s="1" customFormat="1" ht="18" customHeight="1">
      <c r="E3" s="1" t="s">
        <v>170</v>
      </c>
      <c r="F3" s="3" t="str">
        <f>'Universal data'!$D$9</f>
        <v>[Offshore transmission operator 1]</v>
      </c>
      <c r="G3" s="5"/>
      <c r="H3" s="5"/>
      <c r="K3" s="5"/>
    </row>
    <row r="4" spans="1:13" s="1" customFormat="1" ht="18" customHeight="1">
      <c r="E4" s="1" t="s">
        <v>171</v>
      </c>
      <c r="F4" s="3" t="str">
        <f>'Universal data'!$D$12-1&amp;"-"&amp;'Universal data'!$D$12-2000</f>
        <v>2012-13</v>
      </c>
      <c r="G4" s="5"/>
      <c r="H4" s="5"/>
      <c r="K4" s="5"/>
    </row>
    <row r="5" spans="1:13">
      <c r="A5" s="26" t="s">
        <v>251</v>
      </c>
      <c r="I5" s="29"/>
    </row>
    <row r="6" spans="1:13" ht="18">
      <c r="B6" s="191" t="s">
        <v>250</v>
      </c>
      <c r="I6" s="29"/>
    </row>
    <row r="7" spans="1:13">
      <c r="A7" s="28" t="s">
        <v>266</v>
      </c>
      <c r="C7" s="31"/>
      <c r="D7" s="30"/>
      <c r="E7" s="30"/>
      <c r="F7" s="30"/>
      <c r="G7" s="30"/>
      <c r="H7" s="30"/>
      <c r="I7" s="30"/>
      <c r="J7" s="30"/>
      <c r="K7" s="30"/>
      <c r="L7" s="30"/>
      <c r="M7" s="30"/>
    </row>
    <row r="8" spans="1:13" s="34" customFormat="1" ht="38.25">
      <c r="A8" s="379" t="s">
        <v>267</v>
      </c>
      <c r="B8" s="32"/>
      <c r="C8" s="33" t="s">
        <v>24</v>
      </c>
      <c r="D8" s="33" t="s">
        <v>25</v>
      </c>
      <c r="E8" s="33" t="s">
        <v>47</v>
      </c>
      <c r="F8" s="33" t="s">
        <v>166</v>
      </c>
    </row>
    <row r="9" spans="1:13" s="30" customFormat="1" ht="14.25">
      <c r="A9" s="32"/>
      <c r="B9" s="35" t="s">
        <v>0</v>
      </c>
      <c r="C9" s="36" t="s">
        <v>149</v>
      </c>
      <c r="D9" s="36" t="s">
        <v>151</v>
      </c>
      <c r="E9" s="36" t="s">
        <v>186</v>
      </c>
      <c r="F9" s="36"/>
    </row>
    <row r="10" spans="1:13" s="34" customFormat="1" ht="39">
      <c r="A10" s="32" t="s">
        <v>268</v>
      </c>
      <c r="B10" s="28"/>
      <c r="C10" s="478" t="s">
        <v>270</v>
      </c>
      <c r="D10" s="38" t="s">
        <v>155</v>
      </c>
      <c r="E10" s="38" t="s">
        <v>156</v>
      </c>
      <c r="F10" s="492" t="s">
        <v>322</v>
      </c>
    </row>
    <row r="11" spans="1:13" s="30" customFormat="1">
      <c r="A11" s="379" t="s">
        <v>269</v>
      </c>
      <c r="B11" s="39">
        <v>22</v>
      </c>
      <c r="C11" s="207">
        <f ca="1">'4b'!I36+'4b'!E32+'4b'!D37-'4b'!J36-'4b'!H36-'4b'!L36</f>
        <v>48665.56800000013</v>
      </c>
      <c r="D11" s="207">
        <f ca="1">IF(C11&gt;0,C11,0)</f>
        <v>48665.56800000013</v>
      </c>
      <c r="E11" s="232">
        <f ca="1">IF(ISERROR((D11/'4b'!C32)*'1'!$E$44),0,(D11/'4b'!C32)*'1'!$E$44)</f>
        <v>4.9924709103354004E-2</v>
      </c>
      <c r="F11" s="331">
        <f ca="1">('2f'!$Z$12/'2f'!$Z$17)*'8'!$E11*'2f'!V$17</f>
        <v>0</v>
      </c>
    </row>
    <row r="12" spans="1:13" s="30" customFormat="1">
      <c r="A12" s="414"/>
      <c r="B12" s="30">
        <v>23</v>
      </c>
      <c r="C12" s="202">
        <f ca="1">'4b'!I37+'4b'!E33+'4b'!D38-'4b'!J37-'4b'!H37-'4b'!L37</f>
        <v>48665.56800000013</v>
      </c>
      <c r="D12" s="202">
        <f t="shared" ref="D12:D15" ca="1" si="0">IF(C12&gt;0,C12,0)</f>
        <v>48665.56800000013</v>
      </c>
      <c r="E12" s="236">
        <f ca="1">IF(ISERROR((D12/'4b'!C33)*'1'!$E$44),0,(D12/'4b'!C33)*'1'!$E$44)</f>
        <v>4.9924709103354004E-2</v>
      </c>
      <c r="F12" s="332">
        <f ca="1">('2f'!$Z$12/'2f'!$Z$17)*'8'!$E12*'2f'!W$17</f>
        <v>0</v>
      </c>
    </row>
    <row r="13" spans="1:13" s="30" customFormat="1">
      <c r="A13" s="415" t="b">
        <v>0</v>
      </c>
      <c r="B13" s="30">
        <v>24</v>
      </c>
      <c r="C13" s="202">
        <f ca="1">'4b'!I38+'4b'!E34+'4b'!D39-'4b'!J38-'4b'!H38-'4b'!L38</f>
        <v>48665.56800000013</v>
      </c>
      <c r="D13" s="202">
        <f t="shared" ca="1" si="0"/>
        <v>48665.56800000013</v>
      </c>
      <c r="E13" s="236">
        <f ca="1">IF(ISERROR((D13/'4b'!C34)*'1'!$E$44),0,(D13/'4b'!C34)*'1'!$E$44)</f>
        <v>4.9924709103354004E-2</v>
      </c>
      <c r="F13" s="332">
        <f ca="1">('2f'!$Z$12/'2f'!$Z$17)*'8'!$E13*'2f'!X$17</f>
        <v>0</v>
      </c>
    </row>
    <row r="14" spans="1:13" s="30" customFormat="1">
      <c r="A14" s="28"/>
      <c r="B14" s="30">
        <v>25</v>
      </c>
      <c r="C14" s="202">
        <f ca="1">'4b'!I39+'4b'!E35+'4b'!D40-'4b'!J39-'4b'!H39-'4b'!L39</f>
        <v>48665.56800000013</v>
      </c>
      <c r="D14" s="202">
        <f t="shared" ca="1" si="0"/>
        <v>48665.56800000013</v>
      </c>
      <c r="E14" s="236">
        <f ca="1">IF(ISERROR((D14/'4b'!C35)*'1'!$E$44),0,(D14/'4b'!C35)*'1'!$E$44)</f>
        <v>4.9924709103354004E-2</v>
      </c>
      <c r="F14" s="332">
        <f ca="1">('2f'!$Z$12/'2f'!$Z$17)*'8'!$E14*'2f'!Y$17</f>
        <v>0</v>
      </c>
    </row>
    <row r="15" spans="1:13" s="30" customFormat="1">
      <c r="A15" s="28"/>
      <c r="B15" s="35">
        <v>26</v>
      </c>
      <c r="C15" s="208">
        <f ca="1">'4b'!I40+'4b'!E36+'4b'!D41-'4b'!J40-'4b'!H40-'4b'!L40</f>
        <v>48665.56800000013</v>
      </c>
      <c r="D15" s="208">
        <f t="shared" ca="1" si="0"/>
        <v>48665.56800000013</v>
      </c>
      <c r="E15" s="233">
        <f ca="1">IF(ISERROR((D15/'4b'!C36)*'1'!$E$44),0,(D15/'4b'!C36)*'1'!$E$44)</f>
        <v>4.9924709103354004E-2</v>
      </c>
      <c r="F15" s="333">
        <f ca="1">('2f'!$Z$12/'2f'!$Z$17)*'8'!$E15*'2f'!Z$17</f>
        <v>0</v>
      </c>
    </row>
    <row r="16" spans="1:13" s="30" customFormat="1">
      <c r="A16" s="169"/>
      <c r="B16" s="28"/>
      <c r="C16" s="28"/>
      <c r="D16" s="28"/>
      <c r="E16" s="28"/>
      <c r="F16" s="333">
        <f ca="1">SUM(F11:F15)</f>
        <v>0</v>
      </c>
    </row>
    <row r="17" spans="1:2" s="30" customFormat="1">
      <c r="A17" s="28"/>
      <c r="B17" s="28"/>
    </row>
    <row r="18" spans="1:2" s="30" customFormat="1" hidden="1">
      <c r="A18" s="28"/>
      <c r="B18" s="28"/>
    </row>
    <row r="19" spans="1:2" s="30" customFormat="1" hidden="1">
      <c r="A19" s="28"/>
      <c r="B19" s="28"/>
    </row>
    <row r="20" spans="1:2" s="30" customFormat="1" hidden="1">
      <c r="A20" s="28"/>
      <c r="B20" s="28"/>
    </row>
    <row r="21" spans="1:2" s="30" customFormat="1" hidden="1">
      <c r="A21" s="28"/>
      <c r="B21" s="28"/>
    </row>
    <row r="22" spans="1:2" s="30" customFormat="1" hidden="1">
      <c r="A22" s="28"/>
      <c r="B22" s="28"/>
    </row>
    <row r="23" spans="1:2" s="30" customFormat="1" hidden="1">
      <c r="A23" s="28"/>
      <c r="B23" s="28"/>
    </row>
    <row r="24" spans="1:2" s="30" customFormat="1" hidden="1">
      <c r="A24" s="28"/>
      <c r="B24" s="28"/>
    </row>
    <row r="25" spans="1:2" s="30" customFormat="1" hidden="1">
      <c r="A25" s="28"/>
      <c r="B25" s="28"/>
    </row>
    <row r="26" spans="1:2" s="30" customFormat="1" hidden="1">
      <c r="A26" s="28"/>
      <c r="B26" s="28"/>
    </row>
    <row r="27" spans="1:2" s="30" customFormat="1" hidden="1">
      <c r="A27" s="28"/>
      <c r="B27" s="28"/>
    </row>
    <row r="28" spans="1:2" s="30" customFormat="1" hidden="1">
      <c r="A28" s="28"/>
      <c r="B28" s="28"/>
    </row>
    <row r="29" spans="1:2" s="30" customFormat="1" hidden="1">
      <c r="A29" s="28"/>
      <c r="B29" s="28"/>
    </row>
    <row r="30" spans="1:2" s="30" customFormat="1" hidden="1">
      <c r="A30" s="28"/>
      <c r="B30" s="28"/>
    </row>
    <row r="31" spans="1:2" s="30" customFormat="1" hidden="1">
      <c r="A31" s="28"/>
      <c r="B31" s="28"/>
    </row>
    <row r="32" spans="1:2" s="30" customFormat="1" hidden="1">
      <c r="A32" s="28"/>
      <c r="B32" s="28"/>
    </row>
    <row r="33" spans="1:9" s="30" customFormat="1" hidden="1">
      <c r="A33" s="28"/>
      <c r="B33" s="28"/>
    </row>
    <row r="34" spans="1:9" s="30" customFormat="1" hidden="1">
      <c r="A34" s="28"/>
      <c r="B34" s="28"/>
    </row>
    <row r="35" spans="1:9" s="30" customFormat="1" hidden="1">
      <c r="A35" s="28"/>
      <c r="B35" s="28"/>
    </row>
    <row r="36" spans="1:9" hidden="1"/>
    <row r="37" spans="1:9" hidden="1">
      <c r="F37" s="40"/>
      <c r="G37" s="30"/>
      <c r="H37" s="30"/>
      <c r="I37" s="41"/>
    </row>
    <row r="38" spans="1:9" hidden="1">
      <c r="I38" s="41"/>
    </row>
    <row r="39" spans="1:9" hidden="1">
      <c r="I39" s="41"/>
    </row>
    <row r="40" spans="1:9" hidden="1">
      <c r="I40" s="41"/>
    </row>
    <row r="41" spans="1:9" hidden="1">
      <c r="F41" s="42"/>
    </row>
    <row r="42" spans="1:9" hidden="1"/>
    <row r="43" spans="1:9" hidden="1"/>
    <row r="44" spans="1:9" hidden="1"/>
    <row r="45" spans="1:9" hidden="1"/>
    <row r="46" spans="1:9" hidden="1"/>
    <row r="47" spans="1:9" hidden="1"/>
    <row r="48" spans="1: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sheetData>
  <sheetProtection sheet="1" objects="1" scenarios="1"/>
  <conditionalFormatting sqref="A8 A11">
    <cfRule type="cellIs" dxfId="1" priority="3" operator="equal">
      <formula>"O"</formula>
    </cfRule>
    <cfRule type="cellIs" dxfId="0" priority="4" operator="equal">
      <formula>"P"</formula>
    </cfRule>
  </conditionalFormatting>
  <hyperlinks>
    <hyperlink ref="A5" location="'Sign off'!A1" display="Index"/>
  </hyperlinks>
  <pageMargins left="0.70866141732283472" right="0.70866141732283472" top="0.74803149606299213" bottom="0.74803149606299213" header="0.31496062992125984" footer="0.31496062992125984"/>
  <pageSetup paperSize="8" orientation="landscape" r:id="rId1"/>
  <drawing r:id="rId2"/>
  <legacyDrawing r:id="rId3"/>
</worksheet>
</file>

<file path=xl/worksheets/sheet3.xml><?xml version="1.0" encoding="utf-8"?>
<worksheet xmlns="http://schemas.openxmlformats.org/spreadsheetml/2006/main" xmlns:r="http://schemas.openxmlformats.org/officeDocument/2006/relationships">
  <sheetPr codeName="Sheet5"/>
  <dimension ref="A1:K26"/>
  <sheetViews>
    <sheetView showGridLines="0" zoomScaleNormal="100" zoomScaleSheetLayoutView="90" workbookViewId="0">
      <selection activeCell="F10" sqref="F10:I10"/>
    </sheetView>
  </sheetViews>
  <sheetFormatPr defaultColWidth="0" defaultRowHeight="12.75" zeroHeight="1"/>
  <cols>
    <col min="1" max="1" width="9.33203125" style="370" customWidth="1"/>
    <col min="2" max="2" width="15.1640625" style="370" bestFit="1" customWidth="1"/>
    <col min="3" max="6" width="12" style="370" customWidth="1"/>
    <col min="7" max="7" width="51.1640625" style="370" customWidth="1"/>
    <col min="8" max="10" width="12" style="370" customWidth="1"/>
    <col min="11" max="16384" width="0" style="370" hidden="1"/>
  </cols>
  <sheetData>
    <row r="1" spans="1:11" s="356" customFormat="1" ht="27.75" customHeight="1">
      <c r="D1" s="357" t="s">
        <v>185</v>
      </c>
    </row>
    <row r="2" spans="1:11" s="356" customFormat="1" ht="18" customHeight="1">
      <c r="D2" s="356" t="s">
        <v>169</v>
      </c>
      <c r="E2" s="358" t="str">
        <f>'Universal data'!$D$11</f>
        <v>Demo sands</v>
      </c>
    </row>
    <row r="3" spans="1:11" s="356" customFormat="1" ht="18" customHeight="1">
      <c r="B3" s="359"/>
      <c r="C3" s="359"/>
      <c r="D3" s="356" t="s">
        <v>170</v>
      </c>
      <c r="E3" s="358" t="str">
        <f>'Universal data'!$D$9</f>
        <v>[Offshore transmission operator 1]</v>
      </c>
      <c r="G3" s="360"/>
      <c r="H3" s="360"/>
      <c r="K3" s="360"/>
    </row>
    <row r="4" spans="1:11" s="356" customFormat="1" ht="18" customHeight="1">
      <c r="B4" s="359"/>
      <c r="C4" s="359"/>
      <c r="D4" s="356" t="s">
        <v>171</v>
      </c>
      <c r="E4" s="358" t="str">
        <f>'Universal data'!$D$12-1&amp;"-"&amp;'Universal data'!$D$12-2000</f>
        <v>2012-13</v>
      </c>
      <c r="G4" s="360"/>
      <c r="H4" s="360"/>
      <c r="K4" s="360"/>
    </row>
    <row r="5" spans="1:11" s="369" customFormat="1">
      <c r="A5" s="194" t="s">
        <v>251</v>
      </c>
    </row>
    <row r="6" spans="1:11"/>
    <row r="7" spans="1:11">
      <c r="B7" s="371" t="s">
        <v>53</v>
      </c>
      <c r="C7" s="531" t="s">
        <v>52</v>
      </c>
      <c r="D7" s="531"/>
      <c r="E7" s="531"/>
      <c r="F7" s="531" t="s">
        <v>51</v>
      </c>
      <c r="G7" s="531"/>
      <c r="H7" s="531"/>
      <c r="I7" s="531"/>
    </row>
    <row r="8" spans="1:11">
      <c r="B8" s="497">
        <v>40505</v>
      </c>
      <c r="C8" s="532">
        <v>1</v>
      </c>
      <c r="D8" s="533"/>
      <c r="E8" s="534"/>
      <c r="F8" s="535" t="s">
        <v>295</v>
      </c>
      <c r="G8" s="536"/>
      <c r="H8" s="536"/>
      <c r="I8" s="537"/>
    </row>
    <row r="9" spans="1:11">
      <c r="B9" s="498">
        <v>40605</v>
      </c>
      <c r="C9" s="532">
        <v>2</v>
      </c>
      <c r="D9" s="533"/>
      <c r="E9" s="534"/>
      <c r="F9" s="535" t="s">
        <v>305</v>
      </c>
      <c r="G9" s="536"/>
      <c r="H9" s="536"/>
      <c r="I9" s="537"/>
    </row>
    <row r="10" spans="1:11" ht="27" customHeight="1">
      <c r="B10" s="499">
        <v>41325</v>
      </c>
      <c r="C10" s="538">
        <v>3</v>
      </c>
      <c r="D10" s="539"/>
      <c r="E10" s="540"/>
      <c r="F10" s="541" t="s">
        <v>314</v>
      </c>
      <c r="G10" s="542"/>
      <c r="H10" s="542"/>
      <c r="I10" s="543"/>
    </row>
    <row r="11" spans="1:11" ht="40.5" customHeight="1">
      <c r="B11" s="497">
        <v>41716</v>
      </c>
      <c r="C11" s="532">
        <v>4</v>
      </c>
      <c r="D11" s="533"/>
      <c r="E11" s="534"/>
      <c r="F11" s="535" t="s">
        <v>331</v>
      </c>
      <c r="G11" s="536"/>
      <c r="H11" s="536"/>
      <c r="I11" s="537"/>
    </row>
    <row r="12" spans="1:11">
      <c r="B12" s="190"/>
      <c r="C12" s="528"/>
      <c r="D12" s="529"/>
      <c r="E12" s="530"/>
      <c r="F12" s="528"/>
      <c r="G12" s="529"/>
      <c r="H12" s="529"/>
      <c r="I12" s="530"/>
    </row>
    <row r="13" spans="1:11">
      <c r="B13" s="190"/>
      <c r="C13" s="528"/>
      <c r="D13" s="529"/>
      <c r="E13" s="530"/>
      <c r="F13" s="528"/>
      <c r="G13" s="529"/>
      <c r="H13" s="529"/>
      <c r="I13" s="530"/>
    </row>
    <row r="14" spans="1:11">
      <c r="B14" s="190"/>
      <c r="C14" s="528"/>
      <c r="D14" s="529"/>
      <c r="E14" s="530"/>
      <c r="F14" s="528"/>
      <c r="G14" s="529"/>
      <c r="H14" s="529"/>
      <c r="I14" s="530"/>
    </row>
    <row r="15" spans="1:11">
      <c r="B15" s="190"/>
      <c r="C15" s="528"/>
      <c r="D15" s="529"/>
      <c r="E15" s="530"/>
      <c r="F15" s="528"/>
      <c r="G15" s="529"/>
      <c r="H15" s="529"/>
      <c r="I15" s="530"/>
    </row>
    <row r="16" spans="1:11">
      <c r="B16" s="190"/>
      <c r="C16" s="528"/>
      <c r="D16" s="529"/>
      <c r="E16" s="530"/>
      <c r="F16" s="528"/>
      <c r="G16" s="529"/>
      <c r="H16" s="529"/>
      <c r="I16" s="530"/>
    </row>
    <row r="17" spans="2:9">
      <c r="B17" s="190"/>
      <c r="C17" s="528"/>
      <c r="D17" s="529"/>
      <c r="E17" s="530"/>
      <c r="F17" s="528"/>
      <c r="G17" s="529"/>
      <c r="H17" s="529"/>
      <c r="I17" s="530"/>
    </row>
    <row r="18" spans="2:9">
      <c r="B18" s="190"/>
      <c r="C18" s="528"/>
      <c r="D18" s="529"/>
      <c r="E18" s="530"/>
      <c r="F18" s="528"/>
      <c r="G18" s="529"/>
      <c r="H18" s="529"/>
      <c r="I18" s="530"/>
    </row>
    <row r="19" spans="2:9">
      <c r="B19" s="190"/>
      <c r="C19" s="528"/>
      <c r="D19" s="529"/>
      <c r="E19" s="530"/>
      <c r="F19" s="528"/>
      <c r="G19" s="529"/>
      <c r="H19" s="529"/>
      <c r="I19" s="530"/>
    </row>
    <row r="20" spans="2:9">
      <c r="B20" s="190"/>
      <c r="C20" s="528"/>
      <c r="D20" s="529"/>
      <c r="E20" s="530"/>
      <c r="F20" s="528"/>
      <c r="G20" s="529"/>
      <c r="H20" s="529"/>
      <c r="I20" s="530"/>
    </row>
    <row r="21" spans="2:9"/>
    <row r="22" spans="2:9" hidden="1"/>
    <row r="23" spans="2:9" hidden="1"/>
    <row r="24" spans="2:9" hidden="1"/>
    <row r="25" spans="2:9" hidden="1"/>
    <row r="26" spans="2:9" hidden="1"/>
  </sheetData>
  <mergeCells count="28">
    <mergeCell ref="C16:E16"/>
    <mergeCell ref="F16:I16"/>
    <mergeCell ref="C17:E17"/>
    <mergeCell ref="F17:I17"/>
    <mergeCell ref="C18:E18"/>
    <mergeCell ref="F18:I18"/>
    <mergeCell ref="C13:E13"/>
    <mergeCell ref="F13:I13"/>
    <mergeCell ref="C14:E14"/>
    <mergeCell ref="F14:I14"/>
    <mergeCell ref="C15:E15"/>
    <mergeCell ref="F15:I15"/>
    <mergeCell ref="C19:E19"/>
    <mergeCell ref="F19:I19"/>
    <mergeCell ref="C20:E20"/>
    <mergeCell ref="F20:I20"/>
    <mergeCell ref="C7:E7"/>
    <mergeCell ref="F7:I7"/>
    <mergeCell ref="C8:E8"/>
    <mergeCell ref="F8:I8"/>
    <mergeCell ref="C9:E9"/>
    <mergeCell ref="F9:I9"/>
    <mergeCell ref="C10:E10"/>
    <mergeCell ref="F10:I10"/>
    <mergeCell ref="C11:E11"/>
    <mergeCell ref="F11:I11"/>
    <mergeCell ref="C12:E12"/>
    <mergeCell ref="F12:I12"/>
  </mergeCells>
  <hyperlinks>
    <hyperlink ref="A5" location="'Sign off'!A26" display="Reviewed"/>
  </hyperlinks>
  <pageMargins left="0.75" right="0.75" top="1" bottom="1" header="0.5" footer="0.5"/>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7"/>
  <dimension ref="A1:J33"/>
  <sheetViews>
    <sheetView zoomScale="90" zoomScaleNormal="90" workbookViewId="0">
      <pane ySplit="4" topLeftCell="A5" activePane="bottomLeft" state="frozen"/>
      <selection activeCell="B6" sqref="B6:I16"/>
      <selection pane="bottomLeft" activeCell="D12" sqref="D12"/>
    </sheetView>
  </sheetViews>
  <sheetFormatPr defaultColWidth="0" defaultRowHeight="12.75" customHeight="1" zeroHeight="1"/>
  <cols>
    <col min="1" max="1" width="20.83203125" style="372" customWidth="1"/>
    <col min="2" max="2" width="50.5" style="372" customWidth="1"/>
    <col min="3" max="3" width="11.5" style="372" customWidth="1"/>
    <col min="4" max="4" width="40.33203125" style="372" bestFit="1" customWidth="1"/>
    <col min="5" max="9" width="12" style="372" customWidth="1"/>
    <col min="10" max="10" width="0" style="372" hidden="1" customWidth="1"/>
    <col min="11" max="16384" width="12" style="372" hidden="1"/>
  </cols>
  <sheetData>
    <row r="1" spans="1:10" s="356" customFormat="1" ht="27.75" customHeight="1">
      <c r="C1" s="357" t="s">
        <v>185</v>
      </c>
    </row>
    <row r="2" spans="1:10" s="356" customFormat="1" ht="18" customHeight="1">
      <c r="C2" s="356" t="s">
        <v>169</v>
      </c>
      <c r="D2" s="358" t="str">
        <f>'Universal data'!$D$11</f>
        <v>Demo sands</v>
      </c>
    </row>
    <row r="3" spans="1:10" s="356" customFormat="1" ht="18" customHeight="1">
      <c r="A3" s="359"/>
      <c r="B3" s="359"/>
      <c r="C3" s="356" t="s">
        <v>170</v>
      </c>
      <c r="D3" s="358" t="str">
        <f>'Universal data'!$D$9</f>
        <v>[Offshore transmission operator 1]</v>
      </c>
      <c r="F3" s="360"/>
      <c r="G3" s="360"/>
      <c r="J3" s="360"/>
    </row>
    <row r="4" spans="1:10" s="356" customFormat="1" ht="18" customHeight="1">
      <c r="A4" s="359"/>
      <c r="B4" s="359"/>
      <c r="C4" s="356" t="s">
        <v>171</v>
      </c>
      <c r="D4" s="358" t="str">
        <f>'Universal data'!$D$12-1&amp;"-"&amp;'Universal data'!$D$12-2000</f>
        <v>2012-13</v>
      </c>
      <c r="F4" s="360"/>
      <c r="G4" s="360"/>
      <c r="J4" s="360"/>
    </row>
    <row r="5" spans="1:10">
      <c r="A5" s="26" t="s">
        <v>251</v>
      </c>
    </row>
    <row r="6" spans="1:10" ht="18">
      <c r="B6" s="362" t="s">
        <v>261</v>
      </c>
    </row>
    <row r="7" spans="1:10">
      <c r="A7" s="255" t="s">
        <v>266</v>
      </c>
    </row>
    <row r="8" spans="1:10">
      <c r="A8" s="379" t="s">
        <v>267</v>
      </c>
      <c r="B8" s="373" t="s">
        <v>252</v>
      </c>
      <c r="D8" s="195"/>
    </row>
    <row r="9" spans="1:10">
      <c r="A9" s="255"/>
      <c r="B9" s="374" t="s">
        <v>253</v>
      </c>
      <c r="D9" s="375" t="s">
        <v>292</v>
      </c>
    </row>
    <row r="10" spans="1:10">
      <c r="A10" s="255" t="s">
        <v>268</v>
      </c>
      <c r="B10" s="374" t="s">
        <v>254</v>
      </c>
      <c r="D10" s="376" t="s">
        <v>255</v>
      </c>
    </row>
    <row r="11" spans="1:10">
      <c r="A11" s="379" t="s">
        <v>269</v>
      </c>
      <c r="B11" s="374" t="s">
        <v>169</v>
      </c>
      <c r="D11" s="376" t="s">
        <v>256</v>
      </c>
    </row>
    <row r="12" spans="1:10">
      <c r="A12" s="255"/>
      <c r="B12" s="374" t="s">
        <v>257</v>
      </c>
      <c r="D12" s="195">
        <v>2013</v>
      </c>
    </row>
    <row r="13" spans="1:10">
      <c r="A13" s="377" t="b">
        <v>0</v>
      </c>
      <c r="B13" s="374" t="s">
        <v>258</v>
      </c>
      <c r="D13" s="195"/>
    </row>
    <row r="14" spans="1:10">
      <c r="B14" s="374" t="s">
        <v>259</v>
      </c>
      <c r="D14" s="196"/>
    </row>
    <row r="15" spans="1:10" ht="25.5">
      <c r="B15" s="378" t="s">
        <v>260</v>
      </c>
      <c r="D15" s="196">
        <v>41274</v>
      </c>
    </row>
    <row r="16" spans="1:10"/>
    <row r="17" hidden="1"/>
    <row r="18" hidden="1"/>
    <row r="19" hidden="1"/>
    <row r="20" ht="13.5" hidden="1" customHeight="1"/>
    <row r="21" hidden="1"/>
    <row r="22" hidden="1"/>
    <row r="23" hidden="1"/>
    <row r="24" hidden="1"/>
    <row r="25" hidden="1"/>
    <row r="26" hidden="1"/>
    <row r="27" hidden="1"/>
    <row r="28" hidden="1"/>
    <row r="29" hidden="1"/>
    <row r="30" hidden="1"/>
    <row r="31" hidden="1"/>
    <row r="32" hidden="1"/>
    <row r="33" ht="12.75" hidden="1" customHeight="1"/>
  </sheetData>
  <sheetProtection sheet="1" objects="1" scenarios="1"/>
  <conditionalFormatting sqref="A8 A11">
    <cfRule type="cellIs" dxfId="39" priority="3" operator="equal">
      <formula>"O"</formula>
    </cfRule>
    <cfRule type="cellIs" dxfId="38" priority="4" operator="equal">
      <formula>"P"</formula>
    </cfRule>
  </conditionalFormatting>
  <conditionalFormatting sqref="A8 A11">
    <cfRule type="cellIs" dxfId="37" priority="1" operator="equal">
      <formula>"O"</formula>
    </cfRule>
    <cfRule type="cellIs" dxfId="36" priority="2" operator="equal">
      <formula>"P"</formula>
    </cfRule>
  </conditionalFormatting>
  <hyperlinks>
    <hyperlink ref="A5" location="'Sign off'!A1" display="Index"/>
  </hyperlinks>
  <pageMargins left="0.25" right="0.25" top="0.75" bottom="0.75" header="0.3" footer="0.3"/>
  <pageSetup paperSize="8" orientation="landscape" r:id="rId1"/>
  <drawing r:id="rId2"/>
  <legacyDrawing r:id="rId3"/>
</worksheet>
</file>

<file path=xl/worksheets/sheet5.xml><?xml version="1.0" encoding="utf-8"?>
<worksheet xmlns="http://schemas.openxmlformats.org/spreadsheetml/2006/main" xmlns:r="http://schemas.openxmlformats.org/officeDocument/2006/relationships">
  <sheetPr codeName="Sheet8">
    <pageSetUpPr fitToPage="1"/>
  </sheetPr>
  <dimension ref="A1:Z60"/>
  <sheetViews>
    <sheetView zoomScale="90" zoomScaleNormal="90" zoomScaleSheetLayoutView="62" workbookViewId="0">
      <selection activeCell="D8" sqref="D8"/>
    </sheetView>
  </sheetViews>
  <sheetFormatPr defaultColWidth="0" defaultRowHeight="12.75" zeroHeight="1"/>
  <cols>
    <col min="1" max="1" width="20.6640625" style="43" customWidth="1"/>
    <col min="2" max="2" width="41.83203125" style="43" customWidth="1"/>
    <col min="3" max="3" width="12" style="43" customWidth="1"/>
    <col min="4" max="15" width="13.33203125" style="43" customWidth="1"/>
    <col min="16" max="16" width="13.33203125" style="45" customWidth="1"/>
    <col min="17" max="25" width="13.33203125" style="43" customWidth="1"/>
    <col min="26" max="26" width="12" style="43" customWidth="1"/>
    <col min="27" max="16384" width="12" style="43" hidden="1"/>
  </cols>
  <sheetData>
    <row r="1" spans="1:25" s="356" customFormat="1" ht="19.5">
      <c r="C1" s="357" t="s">
        <v>185</v>
      </c>
    </row>
    <row r="2" spans="1:25" s="356" customFormat="1" ht="15">
      <c r="A2" s="380"/>
      <c r="C2" s="356" t="s">
        <v>169</v>
      </c>
      <c r="D2" s="482" t="str">
        <f>'Universal data'!$D$11</f>
        <v>Demo sands</v>
      </c>
    </row>
    <row r="3" spans="1:25" s="356" customFormat="1" ht="22.5">
      <c r="A3" s="380"/>
      <c r="C3" s="356" t="s">
        <v>170</v>
      </c>
      <c r="D3" s="482" t="str">
        <f>'Universal data'!$D$9</f>
        <v>[Offshore transmission operator 1]</v>
      </c>
      <c r="G3" s="360"/>
      <c r="H3" s="360"/>
      <c r="K3" s="360"/>
    </row>
    <row r="4" spans="1:25" s="356" customFormat="1" ht="22.5">
      <c r="C4" s="356" t="s">
        <v>171</v>
      </c>
      <c r="D4" s="482" t="str">
        <f>'Universal data'!$D$12-1&amp;"-"&amp;'Universal data'!$D$12-2000</f>
        <v>2012-13</v>
      </c>
      <c r="G4" s="360"/>
      <c r="H4" s="360"/>
      <c r="K4" s="360"/>
    </row>
    <row r="5" spans="1:25">
      <c r="A5" s="26" t="s">
        <v>251</v>
      </c>
    </row>
    <row r="6" spans="1:25" ht="18">
      <c r="B6" s="193" t="s">
        <v>233</v>
      </c>
      <c r="O6" s="45"/>
      <c r="P6" s="43"/>
    </row>
    <row r="7" spans="1:25" ht="18">
      <c r="A7" s="43" t="s">
        <v>266</v>
      </c>
      <c r="C7" s="193"/>
      <c r="O7" s="45"/>
      <c r="P7" s="43"/>
    </row>
    <row r="8" spans="1:25" s="44" customFormat="1">
      <c r="A8" s="379" t="s">
        <v>267</v>
      </c>
      <c r="C8" s="381"/>
      <c r="D8" s="496">
        <v>2011</v>
      </c>
      <c r="E8" s="382">
        <f>D8+1</f>
        <v>2012</v>
      </c>
      <c r="F8" s="382">
        <f t="shared" ref="F8:Y8" si="0">E8+1</f>
        <v>2013</v>
      </c>
      <c r="G8" s="382">
        <f t="shared" si="0"/>
        <v>2014</v>
      </c>
      <c r="H8" s="382">
        <f t="shared" si="0"/>
        <v>2015</v>
      </c>
      <c r="I8" s="382">
        <f t="shared" si="0"/>
        <v>2016</v>
      </c>
      <c r="J8" s="382">
        <f t="shared" si="0"/>
        <v>2017</v>
      </c>
      <c r="K8" s="382">
        <f t="shared" si="0"/>
        <v>2018</v>
      </c>
      <c r="L8" s="382">
        <f t="shared" si="0"/>
        <v>2019</v>
      </c>
      <c r="M8" s="382">
        <f t="shared" si="0"/>
        <v>2020</v>
      </c>
      <c r="N8" s="382">
        <f t="shared" si="0"/>
        <v>2021</v>
      </c>
      <c r="O8" s="382">
        <f t="shared" si="0"/>
        <v>2022</v>
      </c>
      <c r="P8" s="382">
        <f t="shared" si="0"/>
        <v>2023</v>
      </c>
      <c r="Q8" s="382">
        <f t="shared" si="0"/>
        <v>2024</v>
      </c>
      <c r="R8" s="382">
        <f t="shared" si="0"/>
        <v>2025</v>
      </c>
      <c r="S8" s="382">
        <f t="shared" si="0"/>
        <v>2026</v>
      </c>
      <c r="T8" s="382">
        <f t="shared" si="0"/>
        <v>2027</v>
      </c>
      <c r="U8" s="382">
        <f t="shared" si="0"/>
        <v>2028</v>
      </c>
      <c r="V8" s="382">
        <f t="shared" si="0"/>
        <v>2029</v>
      </c>
      <c r="W8" s="382">
        <f t="shared" si="0"/>
        <v>2030</v>
      </c>
      <c r="X8" s="382">
        <f t="shared" si="0"/>
        <v>2031</v>
      </c>
      <c r="Y8" s="382">
        <f t="shared" si="0"/>
        <v>2032</v>
      </c>
    </row>
    <row r="9" spans="1:25" s="44" customFormat="1">
      <c r="A9" s="255"/>
      <c r="C9" s="381"/>
      <c r="D9" s="382"/>
      <c r="E9" s="382"/>
      <c r="F9" s="382"/>
      <c r="G9" s="382"/>
      <c r="H9" s="382"/>
      <c r="I9" s="382"/>
      <c r="J9" s="382"/>
      <c r="K9" s="382"/>
      <c r="L9" s="382"/>
      <c r="M9" s="382"/>
      <c r="N9" s="382"/>
      <c r="O9" s="382"/>
      <c r="P9" s="382"/>
      <c r="Q9" s="382"/>
      <c r="R9" s="382"/>
      <c r="S9" s="382"/>
      <c r="T9" s="382"/>
      <c r="U9" s="382"/>
      <c r="V9" s="382"/>
      <c r="W9" s="382"/>
      <c r="X9" s="382"/>
      <c r="Y9" s="382"/>
    </row>
    <row r="10" spans="1:25">
      <c r="A10" s="255" t="s">
        <v>268</v>
      </c>
      <c r="B10" s="47"/>
      <c r="C10" s="47"/>
      <c r="D10" s="47"/>
      <c r="E10" s="47"/>
      <c r="F10" s="47"/>
      <c r="G10" s="47"/>
      <c r="H10" s="47"/>
      <c r="I10" s="47"/>
      <c r="J10" s="47"/>
      <c r="K10" s="47"/>
      <c r="L10" s="47"/>
      <c r="M10" s="47"/>
      <c r="N10" s="47"/>
      <c r="O10" s="47"/>
      <c r="P10" s="47"/>
      <c r="Q10" s="47"/>
      <c r="R10" s="47"/>
      <c r="S10" s="47"/>
      <c r="T10" s="47"/>
      <c r="U10" s="47"/>
      <c r="V10" s="47"/>
      <c r="W10" s="47"/>
      <c r="X10" s="47"/>
      <c r="Y10" s="47"/>
    </row>
    <row r="11" spans="1:25" ht="14.25">
      <c r="A11" s="379" t="s">
        <v>269</v>
      </c>
      <c r="B11" s="68" t="s">
        <v>91</v>
      </c>
      <c r="C11" s="81" t="s">
        <v>213</v>
      </c>
      <c r="D11" s="210"/>
      <c r="E11" s="210"/>
      <c r="F11" s="210"/>
      <c r="G11" s="210"/>
      <c r="H11" s="210"/>
      <c r="I11" s="210"/>
      <c r="J11" s="210"/>
      <c r="K11" s="210"/>
      <c r="L11" s="210"/>
      <c r="M11" s="210"/>
      <c r="N11" s="210"/>
      <c r="O11" s="210"/>
      <c r="P11" s="210"/>
      <c r="Q11" s="210"/>
      <c r="R11" s="210"/>
      <c r="S11" s="210"/>
      <c r="T11" s="210"/>
      <c r="U11" s="210"/>
      <c r="V11" s="210"/>
      <c r="W11" s="210"/>
      <c r="X11" s="210"/>
      <c r="Y11" s="383"/>
    </row>
    <row r="12" spans="1:25">
      <c r="A12" s="414"/>
      <c r="B12" s="481" t="s">
        <v>127</v>
      </c>
      <c r="C12" s="109"/>
      <c r="D12" s="480"/>
      <c r="E12" s="480"/>
      <c r="F12" s="480"/>
      <c r="G12" s="480"/>
      <c r="H12" s="480"/>
      <c r="I12" s="480"/>
      <c r="J12" s="480"/>
      <c r="K12" s="480"/>
      <c r="L12" s="480"/>
      <c r="M12" s="480"/>
      <c r="N12" s="480"/>
      <c r="O12" s="480"/>
      <c r="P12" s="480"/>
      <c r="Q12" s="480"/>
      <c r="R12" s="480"/>
      <c r="S12" s="480"/>
      <c r="T12" s="480"/>
      <c r="U12" s="480"/>
      <c r="V12" s="480"/>
      <c r="W12" s="480"/>
      <c r="X12" s="480"/>
      <c r="Y12" s="480"/>
    </row>
    <row r="13" spans="1:25" ht="14.25">
      <c r="A13" s="415" t="b">
        <v>0</v>
      </c>
      <c r="B13" s="68" t="s">
        <v>112</v>
      </c>
      <c r="C13" s="108" t="s">
        <v>198</v>
      </c>
      <c r="D13" s="479"/>
      <c r="E13" s="479"/>
      <c r="F13" s="479"/>
      <c r="G13" s="479"/>
      <c r="H13" s="479"/>
      <c r="I13" s="479"/>
      <c r="J13" s="479"/>
      <c r="K13" s="479"/>
      <c r="L13" s="479"/>
      <c r="M13" s="479"/>
      <c r="N13" s="479"/>
      <c r="O13" s="479"/>
      <c r="P13" s="479"/>
      <c r="Q13" s="479"/>
      <c r="R13" s="479"/>
      <c r="S13" s="479"/>
      <c r="T13" s="479"/>
      <c r="U13" s="479"/>
      <c r="V13" s="479"/>
      <c r="W13" s="479"/>
      <c r="X13" s="479"/>
      <c r="Y13" s="479"/>
    </row>
    <row r="14" spans="1:25" ht="14.25">
      <c r="B14" s="384" t="s">
        <v>228</v>
      </c>
      <c r="C14" s="93"/>
      <c r="D14" s="64"/>
      <c r="E14" s="64"/>
      <c r="F14" s="64"/>
      <c r="G14" s="64"/>
      <c r="H14" s="64"/>
      <c r="I14" s="64"/>
      <c r="J14" s="64"/>
      <c r="K14" s="64"/>
      <c r="L14" s="64"/>
      <c r="M14" s="64"/>
      <c r="N14" s="64"/>
      <c r="O14" s="64"/>
      <c r="P14" s="64"/>
      <c r="Q14" s="64"/>
      <c r="R14" s="64"/>
      <c r="S14" s="64"/>
      <c r="T14" s="64"/>
      <c r="U14" s="64"/>
      <c r="V14" s="64"/>
      <c r="W14" s="64"/>
      <c r="X14" s="64"/>
      <c r="Y14" s="64"/>
    </row>
    <row r="15" spans="1:25" ht="14.25">
      <c r="B15" s="67" t="s">
        <v>69</v>
      </c>
      <c r="C15" s="101" t="s">
        <v>201</v>
      </c>
      <c r="D15" s="212"/>
      <c r="E15" s="212"/>
      <c r="F15" s="212"/>
      <c r="G15" s="212"/>
      <c r="H15" s="212"/>
      <c r="I15" s="212"/>
      <c r="J15" s="212"/>
      <c r="K15" s="212"/>
      <c r="L15" s="212"/>
      <c r="M15" s="212"/>
      <c r="N15" s="212"/>
      <c r="O15" s="212"/>
      <c r="P15" s="212"/>
      <c r="Q15" s="212"/>
      <c r="R15" s="212"/>
      <c r="S15" s="212"/>
      <c r="T15" s="212"/>
      <c r="U15" s="212"/>
      <c r="V15" s="212"/>
      <c r="W15" s="212"/>
      <c r="X15" s="212"/>
      <c r="Y15" s="212"/>
    </row>
    <row r="16" spans="1:25" ht="25.5">
      <c r="B16" s="55" t="s">
        <v>102</v>
      </c>
      <c r="C16" s="94" t="s">
        <v>202</v>
      </c>
      <c r="D16" s="211"/>
      <c r="E16" s="211"/>
      <c r="F16" s="211"/>
      <c r="G16" s="211"/>
      <c r="H16" s="211"/>
      <c r="I16" s="211"/>
      <c r="J16" s="211"/>
      <c r="K16" s="211"/>
      <c r="L16" s="211"/>
      <c r="M16" s="211"/>
      <c r="N16" s="211"/>
      <c r="O16" s="211"/>
      <c r="P16" s="211"/>
      <c r="Q16" s="211"/>
      <c r="R16" s="211"/>
      <c r="S16" s="211"/>
      <c r="T16" s="211"/>
      <c r="U16" s="211"/>
      <c r="V16" s="211"/>
      <c r="W16" s="211"/>
      <c r="X16" s="211"/>
      <c r="Y16" s="211"/>
    </row>
    <row r="17" spans="2:25" ht="25.5">
      <c r="B17" s="54" t="s">
        <v>92</v>
      </c>
      <c r="C17" s="94" t="s">
        <v>203</v>
      </c>
      <c r="D17" s="211"/>
      <c r="E17" s="211"/>
      <c r="F17" s="211"/>
      <c r="G17" s="211"/>
      <c r="H17" s="211"/>
      <c r="I17" s="211"/>
      <c r="J17" s="211"/>
      <c r="K17" s="211"/>
      <c r="L17" s="211"/>
      <c r="M17" s="211"/>
      <c r="N17" s="211"/>
      <c r="O17" s="211"/>
      <c r="P17" s="211"/>
      <c r="Q17" s="211"/>
      <c r="R17" s="211"/>
      <c r="S17" s="211"/>
      <c r="T17" s="211"/>
      <c r="U17" s="211"/>
      <c r="V17" s="211"/>
      <c r="W17" s="211"/>
      <c r="X17" s="211"/>
      <c r="Y17" s="211"/>
    </row>
    <row r="18" spans="2:25" ht="25.5">
      <c r="B18" s="54" t="s">
        <v>70</v>
      </c>
      <c r="C18" s="94" t="s">
        <v>205</v>
      </c>
      <c r="D18" s="385">
        <v>0</v>
      </c>
      <c r="E18" s="385">
        <v>0</v>
      </c>
      <c r="F18" s="385">
        <v>0</v>
      </c>
      <c r="G18" s="385">
        <v>0</v>
      </c>
      <c r="H18" s="385">
        <v>0</v>
      </c>
      <c r="I18" s="385">
        <v>0</v>
      </c>
      <c r="J18" s="385">
        <v>0</v>
      </c>
      <c r="K18" s="385">
        <v>0</v>
      </c>
      <c r="L18" s="385">
        <v>0</v>
      </c>
      <c r="M18" s="385">
        <v>0</v>
      </c>
      <c r="N18" s="385">
        <v>0</v>
      </c>
      <c r="O18" s="385">
        <v>0</v>
      </c>
      <c r="P18" s="385">
        <v>0</v>
      </c>
      <c r="Q18" s="385">
        <v>0</v>
      </c>
      <c r="R18" s="385">
        <v>0</v>
      </c>
      <c r="S18" s="385">
        <v>0</v>
      </c>
      <c r="T18" s="385">
        <v>0</v>
      </c>
      <c r="U18" s="385">
        <v>0</v>
      </c>
      <c r="V18" s="385">
        <v>0</v>
      </c>
      <c r="W18" s="385">
        <v>0</v>
      </c>
      <c r="X18" s="385">
        <v>0</v>
      </c>
      <c r="Y18" s="385">
        <v>0</v>
      </c>
    </row>
    <row r="19" spans="2:25" ht="25.5">
      <c r="B19" s="54" t="s">
        <v>93</v>
      </c>
      <c r="C19" s="94" t="s">
        <v>207</v>
      </c>
      <c r="D19" s="385">
        <v>0</v>
      </c>
      <c r="E19" s="385">
        <v>0</v>
      </c>
      <c r="F19" s="385">
        <v>0</v>
      </c>
      <c r="G19" s="385">
        <v>0</v>
      </c>
      <c r="H19" s="385">
        <v>0</v>
      </c>
      <c r="I19" s="385">
        <v>0</v>
      </c>
      <c r="J19" s="385">
        <v>0</v>
      </c>
      <c r="K19" s="385">
        <v>0</v>
      </c>
      <c r="L19" s="385">
        <v>0</v>
      </c>
      <c r="M19" s="385">
        <v>0</v>
      </c>
      <c r="N19" s="385">
        <v>0</v>
      </c>
      <c r="O19" s="385">
        <v>0</v>
      </c>
      <c r="P19" s="385">
        <v>0</v>
      </c>
      <c r="Q19" s="385">
        <v>0</v>
      </c>
      <c r="R19" s="385">
        <v>0</v>
      </c>
      <c r="S19" s="385">
        <v>0</v>
      </c>
      <c r="T19" s="385">
        <v>0</v>
      </c>
      <c r="U19" s="385">
        <v>0</v>
      </c>
      <c r="V19" s="385">
        <v>0</v>
      </c>
      <c r="W19" s="385">
        <v>0</v>
      </c>
      <c r="X19" s="385">
        <v>0</v>
      </c>
      <c r="Y19" s="385">
        <v>0</v>
      </c>
    </row>
    <row r="20" spans="2:25" ht="25.5">
      <c r="B20" s="54" t="s">
        <v>72</v>
      </c>
      <c r="C20" s="94" t="s">
        <v>208</v>
      </c>
      <c r="D20" s="211"/>
      <c r="E20" s="211"/>
      <c r="F20" s="211"/>
      <c r="G20" s="211"/>
      <c r="H20" s="211"/>
      <c r="I20" s="211"/>
      <c r="J20" s="211"/>
      <c r="K20" s="211"/>
      <c r="L20" s="211"/>
      <c r="M20" s="211"/>
      <c r="N20" s="211"/>
      <c r="O20" s="211"/>
      <c r="P20" s="211"/>
      <c r="Q20" s="211"/>
      <c r="R20" s="211"/>
      <c r="S20" s="211"/>
      <c r="T20" s="211"/>
      <c r="U20" s="211"/>
      <c r="V20" s="211"/>
      <c r="W20" s="211"/>
      <c r="X20" s="211"/>
      <c r="Y20" s="211"/>
    </row>
    <row r="21" spans="2:25" ht="14.25">
      <c r="B21" s="54" t="s">
        <v>94</v>
      </c>
      <c r="C21" s="94" t="s">
        <v>210</v>
      </c>
      <c r="D21" s="211"/>
      <c r="E21" s="211"/>
      <c r="F21" s="211"/>
      <c r="G21" s="211"/>
      <c r="H21" s="211"/>
      <c r="I21" s="211"/>
      <c r="J21" s="211"/>
      <c r="K21" s="211"/>
      <c r="L21" s="211"/>
      <c r="M21" s="211"/>
      <c r="N21" s="211"/>
      <c r="O21" s="211"/>
      <c r="P21" s="211"/>
      <c r="Q21" s="211"/>
      <c r="R21" s="211"/>
      <c r="S21" s="211"/>
      <c r="T21" s="211"/>
      <c r="U21" s="211"/>
      <c r="V21" s="211"/>
      <c r="W21" s="211"/>
      <c r="X21" s="211"/>
      <c r="Y21" s="211"/>
    </row>
    <row r="22" spans="2:25" ht="25.5">
      <c r="B22" s="70" t="s">
        <v>71</v>
      </c>
      <c r="C22" s="96" t="s">
        <v>212</v>
      </c>
      <c r="D22" s="213"/>
      <c r="E22" s="213"/>
      <c r="F22" s="213"/>
      <c r="G22" s="213"/>
      <c r="H22" s="213"/>
      <c r="I22" s="213"/>
      <c r="J22" s="213"/>
      <c r="K22" s="213"/>
      <c r="L22" s="213"/>
      <c r="M22" s="213"/>
      <c r="N22" s="213"/>
      <c r="O22" s="213"/>
      <c r="P22" s="213"/>
      <c r="Q22" s="213"/>
      <c r="R22" s="213"/>
      <c r="S22" s="213"/>
      <c r="T22" s="213"/>
      <c r="U22" s="213"/>
      <c r="V22" s="213"/>
      <c r="W22" s="213"/>
      <c r="X22" s="213"/>
      <c r="Y22" s="213"/>
    </row>
    <row r="23" spans="2:25">
      <c r="B23" s="69"/>
      <c r="C23" s="93"/>
      <c r="D23" s="64"/>
      <c r="E23" s="64"/>
      <c r="F23" s="64"/>
      <c r="G23" s="64"/>
      <c r="H23" s="64"/>
      <c r="I23" s="64"/>
      <c r="J23" s="64"/>
      <c r="K23" s="64"/>
      <c r="L23" s="64"/>
      <c r="M23" s="64"/>
      <c r="N23" s="64"/>
      <c r="O23" s="64"/>
      <c r="P23" s="64"/>
      <c r="Q23" s="64"/>
      <c r="R23" s="64"/>
      <c r="S23" s="64"/>
      <c r="T23" s="64"/>
      <c r="U23" s="64"/>
      <c r="V23" s="64"/>
      <c r="W23" s="64"/>
      <c r="X23" s="64"/>
      <c r="Y23" s="64"/>
    </row>
    <row r="24" spans="2:25" ht="25.5">
      <c r="B24" s="486" t="s">
        <v>312</v>
      </c>
      <c r="C24" s="108" t="s">
        <v>204</v>
      </c>
      <c r="D24" s="214"/>
      <c r="E24" s="214"/>
      <c r="F24" s="214"/>
      <c r="G24" s="214"/>
      <c r="H24" s="214"/>
      <c r="I24" s="214"/>
      <c r="J24" s="214"/>
      <c r="K24" s="214"/>
      <c r="L24" s="214"/>
      <c r="M24" s="214"/>
      <c r="N24" s="214"/>
      <c r="O24" s="214"/>
      <c r="P24" s="214"/>
      <c r="Q24" s="214"/>
      <c r="R24" s="214"/>
      <c r="S24" s="214"/>
      <c r="T24" s="214"/>
      <c r="U24" s="214"/>
      <c r="V24" s="214"/>
      <c r="W24" s="214"/>
      <c r="X24" s="214"/>
      <c r="Y24" s="214"/>
    </row>
    <row r="25" spans="2:25" ht="25.5">
      <c r="B25" s="68" t="s">
        <v>79</v>
      </c>
      <c r="C25" s="108" t="s">
        <v>206</v>
      </c>
      <c r="D25" s="210"/>
      <c r="E25" s="210"/>
      <c r="F25" s="210"/>
      <c r="G25" s="210"/>
      <c r="H25" s="210"/>
      <c r="I25" s="210"/>
      <c r="J25" s="210"/>
      <c r="K25" s="210"/>
      <c r="L25" s="210"/>
      <c r="M25" s="210"/>
      <c r="N25" s="210"/>
      <c r="O25" s="210"/>
      <c r="P25" s="210"/>
      <c r="Q25" s="210"/>
      <c r="R25" s="210"/>
      <c r="S25" s="210"/>
      <c r="T25" s="210"/>
      <c r="U25" s="210"/>
      <c r="V25" s="210"/>
      <c r="W25" s="210"/>
      <c r="X25" s="210"/>
      <c r="Y25" s="210"/>
    </row>
    <row r="26" spans="2:25">
      <c r="B26" s="69"/>
      <c r="C26" s="93"/>
      <c r="D26" s="64"/>
      <c r="E26" s="64"/>
      <c r="F26" s="64"/>
      <c r="G26" s="64"/>
      <c r="H26" s="64"/>
      <c r="I26" s="64"/>
      <c r="J26" s="64"/>
      <c r="K26" s="64"/>
      <c r="L26" s="64"/>
      <c r="M26" s="64"/>
      <c r="N26" s="64"/>
      <c r="O26" s="64"/>
      <c r="P26" s="64"/>
      <c r="Q26" s="64"/>
      <c r="R26" s="64"/>
      <c r="S26" s="64"/>
      <c r="T26" s="64"/>
      <c r="U26" s="64"/>
      <c r="V26" s="64"/>
      <c r="W26" s="64"/>
      <c r="X26" s="64"/>
      <c r="Y26" s="64"/>
    </row>
    <row r="27" spans="2:25" ht="14.25">
      <c r="B27" s="68" t="s">
        <v>95</v>
      </c>
      <c r="C27" s="81" t="s">
        <v>215</v>
      </c>
      <c r="D27" s="386">
        <v>5.0000000000000001E-3</v>
      </c>
      <c r="E27" s="386">
        <f>D27</f>
        <v>5.0000000000000001E-3</v>
      </c>
      <c r="F27" s="386">
        <f t="shared" ref="F27:Y27" si="1">E27</f>
        <v>5.0000000000000001E-3</v>
      </c>
      <c r="G27" s="386">
        <f t="shared" si="1"/>
        <v>5.0000000000000001E-3</v>
      </c>
      <c r="H27" s="386">
        <f t="shared" si="1"/>
        <v>5.0000000000000001E-3</v>
      </c>
      <c r="I27" s="386">
        <f t="shared" si="1"/>
        <v>5.0000000000000001E-3</v>
      </c>
      <c r="J27" s="386">
        <f t="shared" si="1"/>
        <v>5.0000000000000001E-3</v>
      </c>
      <c r="K27" s="386">
        <f t="shared" si="1"/>
        <v>5.0000000000000001E-3</v>
      </c>
      <c r="L27" s="386">
        <f t="shared" si="1"/>
        <v>5.0000000000000001E-3</v>
      </c>
      <c r="M27" s="386">
        <f t="shared" si="1"/>
        <v>5.0000000000000001E-3</v>
      </c>
      <c r="N27" s="386">
        <f t="shared" si="1"/>
        <v>5.0000000000000001E-3</v>
      </c>
      <c r="O27" s="386">
        <f t="shared" si="1"/>
        <v>5.0000000000000001E-3</v>
      </c>
      <c r="P27" s="386">
        <f t="shared" si="1"/>
        <v>5.0000000000000001E-3</v>
      </c>
      <c r="Q27" s="386">
        <f t="shared" si="1"/>
        <v>5.0000000000000001E-3</v>
      </c>
      <c r="R27" s="386">
        <f t="shared" si="1"/>
        <v>5.0000000000000001E-3</v>
      </c>
      <c r="S27" s="386">
        <f t="shared" si="1"/>
        <v>5.0000000000000001E-3</v>
      </c>
      <c r="T27" s="386">
        <f t="shared" si="1"/>
        <v>5.0000000000000001E-3</v>
      </c>
      <c r="U27" s="386">
        <f t="shared" si="1"/>
        <v>5.0000000000000001E-3</v>
      </c>
      <c r="V27" s="386">
        <f t="shared" si="1"/>
        <v>5.0000000000000001E-3</v>
      </c>
      <c r="W27" s="386">
        <f t="shared" si="1"/>
        <v>5.0000000000000001E-3</v>
      </c>
      <c r="X27" s="386">
        <f t="shared" si="1"/>
        <v>5.0000000000000001E-3</v>
      </c>
      <c r="Y27" s="386">
        <f t="shared" si="1"/>
        <v>5.0000000000000001E-3</v>
      </c>
    </row>
    <row r="28" spans="2:25">
      <c r="B28" s="387"/>
      <c r="C28" s="388"/>
      <c r="D28" s="389"/>
      <c r="E28" s="390"/>
      <c r="F28" s="390"/>
      <c r="G28" s="390"/>
      <c r="H28" s="390"/>
      <c r="I28" s="390"/>
      <c r="J28" s="390"/>
      <c r="K28" s="390"/>
      <c r="L28" s="390"/>
      <c r="M28" s="390"/>
      <c r="N28" s="390"/>
      <c r="O28" s="390"/>
      <c r="P28" s="390"/>
      <c r="Q28" s="390"/>
      <c r="R28" s="390"/>
      <c r="S28" s="390"/>
      <c r="T28" s="390"/>
      <c r="U28" s="390"/>
      <c r="V28" s="390"/>
      <c r="W28" s="390"/>
      <c r="X28" s="390"/>
      <c r="Y28" s="390"/>
    </row>
    <row r="29" spans="2:25" ht="25.5">
      <c r="B29" s="391" t="s">
        <v>131</v>
      </c>
      <c r="C29" s="101" t="s">
        <v>97</v>
      </c>
      <c r="D29" s="392">
        <f>'6'!I22</f>
        <v>0</v>
      </c>
      <c r="E29" s="245">
        <f t="shared" ref="E29:X29" si="2">D29</f>
        <v>0</v>
      </c>
      <c r="F29" s="245">
        <f t="shared" si="2"/>
        <v>0</v>
      </c>
      <c r="G29" s="245">
        <f t="shared" si="2"/>
        <v>0</v>
      </c>
      <c r="H29" s="245">
        <f t="shared" si="2"/>
        <v>0</v>
      </c>
      <c r="I29" s="245">
        <f t="shared" si="2"/>
        <v>0</v>
      </c>
      <c r="J29" s="245">
        <f t="shared" si="2"/>
        <v>0</v>
      </c>
      <c r="K29" s="245">
        <f t="shared" si="2"/>
        <v>0</v>
      </c>
      <c r="L29" s="245">
        <f t="shared" si="2"/>
        <v>0</v>
      </c>
      <c r="M29" s="245">
        <f t="shared" si="2"/>
        <v>0</v>
      </c>
      <c r="N29" s="245">
        <f t="shared" si="2"/>
        <v>0</v>
      </c>
      <c r="O29" s="245">
        <f t="shared" si="2"/>
        <v>0</v>
      </c>
      <c r="P29" s="245">
        <f t="shared" si="2"/>
        <v>0</v>
      </c>
      <c r="Q29" s="245">
        <f t="shared" si="2"/>
        <v>0</v>
      </c>
      <c r="R29" s="245">
        <f t="shared" si="2"/>
        <v>0</v>
      </c>
      <c r="S29" s="245">
        <f t="shared" si="2"/>
        <v>0</v>
      </c>
      <c r="T29" s="245">
        <f t="shared" si="2"/>
        <v>0</v>
      </c>
      <c r="U29" s="245">
        <f t="shared" si="2"/>
        <v>0</v>
      </c>
      <c r="V29" s="245">
        <f t="shared" si="2"/>
        <v>0</v>
      </c>
      <c r="W29" s="245">
        <f t="shared" si="2"/>
        <v>0</v>
      </c>
      <c r="X29" s="245">
        <f t="shared" si="2"/>
        <v>0</v>
      </c>
      <c r="Y29" s="393"/>
    </row>
    <row r="30" spans="2:25" ht="25.5">
      <c r="B30" s="55" t="s">
        <v>132</v>
      </c>
      <c r="C30" s="94" t="s">
        <v>98</v>
      </c>
      <c r="D30" s="385"/>
      <c r="E30" s="394">
        <f t="shared" ref="E30:X30" si="3">D30</f>
        <v>0</v>
      </c>
      <c r="F30" s="240">
        <f t="shared" si="3"/>
        <v>0</v>
      </c>
      <c r="G30" s="240">
        <f t="shared" si="3"/>
        <v>0</v>
      </c>
      <c r="H30" s="240">
        <f t="shared" si="3"/>
        <v>0</v>
      </c>
      <c r="I30" s="240">
        <f t="shared" si="3"/>
        <v>0</v>
      </c>
      <c r="J30" s="240">
        <f t="shared" si="3"/>
        <v>0</v>
      </c>
      <c r="K30" s="240">
        <f t="shared" si="3"/>
        <v>0</v>
      </c>
      <c r="L30" s="240">
        <f t="shared" si="3"/>
        <v>0</v>
      </c>
      <c r="M30" s="240">
        <f t="shared" si="3"/>
        <v>0</v>
      </c>
      <c r="N30" s="240">
        <f t="shared" si="3"/>
        <v>0</v>
      </c>
      <c r="O30" s="240">
        <f t="shared" si="3"/>
        <v>0</v>
      </c>
      <c r="P30" s="240">
        <f t="shared" si="3"/>
        <v>0</v>
      </c>
      <c r="Q30" s="240">
        <f t="shared" si="3"/>
        <v>0</v>
      </c>
      <c r="R30" s="240">
        <f t="shared" si="3"/>
        <v>0</v>
      </c>
      <c r="S30" s="240">
        <f t="shared" si="3"/>
        <v>0</v>
      </c>
      <c r="T30" s="240">
        <f t="shared" si="3"/>
        <v>0</v>
      </c>
      <c r="U30" s="240">
        <f t="shared" si="3"/>
        <v>0</v>
      </c>
      <c r="V30" s="240">
        <f t="shared" si="3"/>
        <v>0</v>
      </c>
      <c r="W30" s="240">
        <f t="shared" si="3"/>
        <v>0</v>
      </c>
      <c r="X30" s="240">
        <f t="shared" si="3"/>
        <v>0</v>
      </c>
      <c r="Y30" s="95"/>
    </row>
    <row r="31" spans="2:25" ht="25.5">
      <c r="B31" s="55" t="s">
        <v>133</v>
      </c>
      <c r="C31" s="94" t="s">
        <v>99</v>
      </c>
      <c r="D31" s="385"/>
      <c r="E31" s="240">
        <f t="shared" ref="E31:X31" si="4">D31</f>
        <v>0</v>
      </c>
      <c r="F31" s="240">
        <f t="shared" si="4"/>
        <v>0</v>
      </c>
      <c r="G31" s="240">
        <f t="shared" si="4"/>
        <v>0</v>
      </c>
      <c r="H31" s="240">
        <f t="shared" si="4"/>
        <v>0</v>
      </c>
      <c r="I31" s="240">
        <f t="shared" si="4"/>
        <v>0</v>
      </c>
      <c r="J31" s="240">
        <f t="shared" si="4"/>
        <v>0</v>
      </c>
      <c r="K31" s="240">
        <f t="shared" si="4"/>
        <v>0</v>
      </c>
      <c r="L31" s="240">
        <f t="shared" si="4"/>
        <v>0</v>
      </c>
      <c r="M31" s="240">
        <f t="shared" si="4"/>
        <v>0</v>
      </c>
      <c r="N31" s="240">
        <f t="shared" si="4"/>
        <v>0</v>
      </c>
      <c r="O31" s="240">
        <f t="shared" si="4"/>
        <v>0</v>
      </c>
      <c r="P31" s="240">
        <f t="shared" si="4"/>
        <v>0</v>
      </c>
      <c r="Q31" s="240">
        <f t="shared" si="4"/>
        <v>0</v>
      </c>
      <c r="R31" s="240">
        <f t="shared" si="4"/>
        <v>0</v>
      </c>
      <c r="S31" s="240">
        <f t="shared" si="4"/>
        <v>0</v>
      </c>
      <c r="T31" s="240">
        <f t="shared" si="4"/>
        <v>0</v>
      </c>
      <c r="U31" s="240">
        <f t="shared" si="4"/>
        <v>0</v>
      </c>
      <c r="V31" s="240">
        <f t="shared" si="4"/>
        <v>0</v>
      </c>
      <c r="W31" s="240">
        <f t="shared" si="4"/>
        <v>0</v>
      </c>
      <c r="X31" s="240">
        <f t="shared" si="4"/>
        <v>0</v>
      </c>
      <c r="Y31" s="95"/>
    </row>
    <row r="32" spans="2:25" ht="14.25">
      <c r="B32" s="60" t="s">
        <v>65</v>
      </c>
      <c r="C32" s="96" t="s">
        <v>194</v>
      </c>
      <c r="D32" s="395">
        <v>0.9</v>
      </c>
      <c r="E32" s="395">
        <v>1</v>
      </c>
      <c r="F32" s="395">
        <v>1</v>
      </c>
      <c r="G32" s="395">
        <v>1</v>
      </c>
      <c r="H32" s="395">
        <v>1</v>
      </c>
      <c r="I32" s="395">
        <v>1</v>
      </c>
      <c r="J32" s="395">
        <v>1</v>
      </c>
      <c r="K32" s="395">
        <v>1</v>
      </c>
      <c r="L32" s="395">
        <v>1</v>
      </c>
      <c r="M32" s="395">
        <v>1</v>
      </c>
      <c r="N32" s="395">
        <v>1</v>
      </c>
      <c r="O32" s="395">
        <v>1</v>
      </c>
      <c r="P32" s="395">
        <v>1</v>
      </c>
      <c r="Q32" s="395">
        <v>1</v>
      </c>
      <c r="R32" s="395">
        <v>1</v>
      </c>
      <c r="S32" s="395">
        <v>1</v>
      </c>
      <c r="T32" s="395">
        <v>1</v>
      </c>
      <c r="U32" s="395">
        <v>1</v>
      </c>
      <c r="V32" s="395">
        <v>1</v>
      </c>
      <c r="W32" s="395">
        <v>1</v>
      </c>
      <c r="X32" s="395">
        <f>1-D32</f>
        <v>9.9999999999999978E-2</v>
      </c>
      <c r="Y32" s="396"/>
    </row>
    <row r="33" spans="2:25">
      <c r="B33" s="98"/>
      <c r="C33" s="98"/>
      <c r="D33" s="98"/>
      <c r="E33" s="98"/>
      <c r="F33" s="98"/>
      <c r="G33" s="98"/>
      <c r="H33" s="98"/>
      <c r="I33" s="98"/>
      <c r="J33" s="98"/>
      <c r="K33" s="98"/>
      <c r="L33" s="98"/>
      <c r="M33" s="98"/>
      <c r="N33" s="98"/>
      <c r="O33" s="98"/>
      <c r="P33" s="98"/>
      <c r="Q33" s="98"/>
      <c r="R33" s="98"/>
      <c r="S33" s="98"/>
      <c r="T33" s="98"/>
      <c r="U33" s="98"/>
      <c r="V33" s="98"/>
      <c r="W33" s="98"/>
      <c r="X33" s="98"/>
      <c r="Y33" s="98"/>
    </row>
    <row r="34" spans="2:25">
      <c r="B34" s="46" t="s">
        <v>96</v>
      </c>
      <c r="P34" s="43"/>
    </row>
    <row r="35" spans="2:25" s="255" customFormat="1" ht="25.5">
      <c r="B35" s="397" t="s">
        <v>3</v>
      </c>
      <c r="C35" s="398" t="s">
        <v>123</v>
      </c>
      <c r="D35" s="399">
        <v>1</v>
      </c>
      <c r="E35" s="399">
        <f t="shared" ref="E35:O35" si="5">D35+1</f>
        <v>2</v>
      </c>
      <c r="F35" s="399">
        <f t="shared" si="5"/>
        <v>3</v>
      </c>
      <c r="G35" s="399">
        <f t="shared" si="5"/>
        <v>4</v>
      </c>
      <c r="H35" s="399">
        <f t="shared" si="5"/>
        <v>5</v>
      </c>
      <c r="I35" s="399">
        <f t="shared" si="5"/>
        <v>6</v>
      </c>
      <c r="J35" s="399">
        <f t="shared" si="5"/>
        <v>7</v>
      </c>
      <c r="K35" s="399">
        <f t="shared" si="5"/>
        <v>8</v>
      </c>
      <c r="L35" s="399">
        <f t="shared" si="5"/>
        <v>9</v>
      </c>
      <c r="M35" s="399">
        <f t="shared" si="5"/>
        <v>10</v>
      </c>
      <c r="N35" s="399">
        <f t="shared" si="5"/>
        <v>11</v>
      </c>
      <c r="O35" s="399">
        <f t="shared" si="5"/>
        <v>12</v>
      </c>
    </row>
    <row r="36" spans="2:25">
      <c r="B36" s="400"/>
      <c r="C36" s="400"/>
      <c r="D36" s="400" t="s">
        <v>10</v>
      </c>
      <c r="E36" s="400" t="s">
        <v>11</v>
      </c>
      <c r="F36" s="400" t="s">
        <v>12</v>
      </c>
      <c r="G36" s="400" t="s">
        <v>13</v>
      </c>
      <c r="H36" s="400" t="s">
        <v>14</v>
      </c>
      <c r="I36" s="400" t="s">
        <v>15</v>
      </c>
      <c r="J36" s="400" t="s">
        <v>16</v>
      </c>
      <c r="K36" s="400" t="s">
        <v>17</v>
      </c>
      <c r="L36" s="400" t="s">
        <v>18</v>
      </c>
      <c r="M36" s="400" t="s">
        <v>19</v>
      </c>
      <c r="N36" s="400" t="s">
        <v>20</v>
      </c>
      <c r="O36" s="400" t="s">
        <v>21</v>
      </c>
      <c r="P36" s="43"/>
    </row>
    <row r="37" spans="2:25" ht="14.25">
      <c r="B37" s="401" t="s">
        <v>223</v>
      </c>
      <c r="C37" s="402" t="s">
        <v>121</v>
      </c>
      <c r="D37" s="386">
        <v>1.2</v>
      </c>
      <c r="E37" s="386">
        <v>1.2</v>
      </c>
      <c r="F37" s="386">
        <v>0.8</v>
      </c>
      <c r="G37" s="386">
        <v>0.8</v>
      </c>
      <c r="H37" s="386">
        <v>0.8</v>
      </c>
      <c r="I37" s="386">
        <v>0.8</v>
      </c>
      <c r="J37" s="386">
        <v>0.8</v>
      </c>
      <c r="K37" s="386">
        <v>0.8</v>
      </c>
      <c r="L37" s="386">
        <v>1.2</v>
      </c>
      <c r="M37" s="386">
        <v>1.2</v>
      </c>
      <c r="N37" s="386">
        <v>1.2</v>
      </c>
      <c r="O37" s="403">
        <v>1.2</v>
      </c>
      <c r="P37" s="43"/>
    </row>
    <row r="38" spans="2:25" ht="14.25">
      <c r="B38" s="401" t="s">
        <v>282</v>
      </c>
      <c r="C38" s="402" t="s">
        <v>121</v>
      </c>
      <c r="D38" s="386">
        <v>0.98</v>
      </c>
      <c r="E38" s="386">
        <v>0.98</v>
      </c>
      <c r="F38" s="386">
        <v>0.98</v>
      </c>
      <c r="G38" s="386">
        <v>0.98</v>
      </c>
      <c r="H38" s="386">
        <v>0.98</v>
      </c>
      <c r="I38" s="386">
        <v>0.98</v>
      </c>
      <c r="J38" s="386">
        <v>0.98</v>
      </c>
      <c r="K38" s="386">
        <v>0.98</v>
      </c>
      <c r="L38" s="386">
        <v>0.98</v>
      </c>
      <c r="M38" s="386">
        <v>0.98</v>
      </c>
      <c r="N38" s="386">
        <v>0.98</v>
      </c>
      <c r="O38" s="403">
        <v>0.98</v>
      </c>
      <c r="P38" s="43"/>
    </row>
    <row r="39" spans="2:25">
      <c r="B39" s="106"/>
      <c r="C39" s="404"/>
      <c r="D39" s="405"/>
      <c r="E39" s="405"/>
      <c r="F39" s="405"/>
      <c r="G39" s="405"/>
      <c r="H39" s="405"/>
      <c r="I39" s="405"/>
      <c r="J39" s="405"/>
      <c r="K39" s="405"/>
      <c r="L39" s="405"/>
      <c r="M39" s="405"/>
      <c r="N39" s="405"/>
      <c r="O39" s="405"/>
      <c r="P39" s="72"/>
      <c r="Q39" s="72"/>
      <c r="R39" s="72"/>
      <c r="S39" s="72"/>
      <c r="T39" s="72"/>
      <c r="U39" s="72"/>
      <c r="V39" s="72"/>
      <c r="W39" s="72"/>
      <c r="X39" s="72"/>
      <c r="Y39" s="72"/>
    </row>
    <row r="40" spans="2:25">
      <c r="B40" s="406" t="s">
        <v>88</v>
      </c>
      <c r="C40" s="75"/>
      <c r="D40" s="114"/>
      <c r="E40" s="75"/>
      <c r="F40" s="83"/>
      <c r="G40" s="83"/>
      <c r="H40" s="83"/>
      <c r="I40" s="83"/>
      <c r="J40" s="83"/>
      <c r="K40" s="83"/>
      <c r="L40" s="83"/>
      <c r="M40" s="83"/>
      <c r="N40" s="83"/>
      <c r="P40" s="43"/>
    </row>
    <row r="41" spans="2:25" s="255" customFormat="1" ht="25.5">
      <c r="B41" s="407" t="s">
        <v>2</v>
      </c>
      <c r="C41" s="399" t="s">
        <v>125</v>
      </c>
      <c r="D41" s="398" t="s">
        <v>123</v>
      </c>
      <c r="E41" s="399" t="s">
        <v>124</v>
      </c>
      <c r="F41" s="281"/>
      <c r="G41" s="281"/>
      <c r="H41" s="281"/>
      <c r="I41" s="281"/>
      <c r="J41" s="281"/>
      <c r="K41" s="281"/>
      <c r="L41" s="281"/>
      <c r="M41" s="281"/>
      <c r="N41" s="281"/>
    </row>
    <row r="42" spans="2:25">
      <c r="B42" s="408" t="s">
        <v>8</v>
      </c>
      <c r="C42" s="402"/>
      <c r="D42" s="402" t="s">
        <v>121</v>
      </c>
      <c r="E42" s="557">
        <v>278</v>
      </c>
      <c r="P42" s="43"/>
    </row>
    <row r="43" spans="2:25">
      <c r="B43" s="408" t="s">
        <v>27</v>
      </c>
      <c r="C43" s="402" t="s">
        <v>41</v>
      </c>
      <c r="D43" s="402" t="s">
        <v>121</v>
      </c>
      <c r="E43" s="409">
        <v>0.04</v>
      </c>
      <c r="F43" s="410"/>
      <c r="G43" s="410"/>
      <c r="H43" s="410"/>
      <c r="I43" s="410"/>
      <c r="J43" s="410"/>
      <c r="K43" s="410"/>
      <c r="L43" s="410"/>
      <c r="M43" s="410"/>
      <c r="N43" s="410"/>
      <c r="P43" s="43"/>
    </row>
    <row r="44" spans="2:25" ht="25.5">
      <c r="B44" s="408" t="s">
        <v>40</v>
      </c>
      <c r="C44" s="402" t="s">
        <v>39</v>
      </c>
      <c r="D44" s="402" t="s">
        <v>121</v>
      </c>
      <c r="E44" s="409">
        <v>0.1</v>
      </c>
      <c r="P44" s="43"/>
    </row>
    <row r="45" spans="2:25">
      <c r="B45" s="408" t="s">
        <v>81</v>
      </c>
      <c r="C45" s="402" t="s">
        <v>82</v>
      </c>
      <c r="D45" s="402" t="s">
        <v>122</v>
      </c>
      <c r="E45" s="409">
        <v>0.04</v>
      </c>
      <c r="P45" s="43"/>
    </row>
    <row r="46" spans="2:25">
      <c r="B46" s="400" t="s">
        <v>60</v>
      </c>
      <c r="C46" s="402"/>
      <c r="D46" s="402" t="s">
        <v>122</v>
      </c>
      <c r="E46" s="409">
        <v>0.04</v>
      </c>
      <c r="P46" s="43"/>
    </row>
    <row r="47" spans="2:25">
      <c r="B47" s="471" t="s">
        <v>63</v>
      </c>
      <c r="C47" s="402" t="s">
        <v>38</v>
      </c>
      <c r="D47" s="402" t="s">
        <v>121</v>
      </c>
      <c r="E47" s="411">
        <v>0.31</v>
      </c>
      <c r="P47" s="43"/>
    </row>
    <row r="48" spans="2:25">
      <c r="B48" s="472" t="s">
        <v>330</v>
      </c>
      <c r="C48" s="412" t="s">
        <v>62</v>
      </c>
      <c r="D48" s="412" t="s">
        <v>121</v>
      </c>
      <c r="E48" s="557">
        <v>200</v>
      </c>
      <c r="P48" s="43"/>
    </row>
    <row r="49" spans="2:25">
      <c r="B49" s="72"/>
      <c r="C49" s="72"/>
      <c r="D49" s="72"/>
      <c r="E49" s="72"/>
      <c r="F49" s="72"/>
      <c r="G49" s="72"/>
      <c r="H49" s="72"/>
      <c r="I49" s="72"/>
      <c r="J49" s="72"/>
      <c r="K49" s="72"/>
      <c r="L49" s="72"/>
      <c r="M49" s="72"/>
      <c r="N49" s="72"/>
      <c r="O49" s="72"/>
      <c r="P49" s="413"/>
      <c r="Q49" s="72"/>
      <c r="R49" s="72"/>
      <c r="S49" s="72"/>
      <c r="T49" s="72"/>
      <c r="U49" s="72"/>
      <c r="V49" s="72"/>
      <c r="W49" s="72"/>
      <c r="X49" s="72"/>
      <c r="Y49" s="72"/>
    </row>
    <row r="50" spans="2:25"/>
    <row r="51" spans="2:25" hidden="1"/>
    <row r="52" spans="2:25" hidden="1"/>
    <row r="53" spans="2:25" hidden="1"/>
    <row r="54" spans="2:25" hidden="1"/>
    <row r="55" spans="2:25" hidden="1"/>
    <row r="56" spans="2:25" hidden="1"/>
    <row r="57" spans="2:25" hidden="1"/>
    <row r="58" spans="2:25" hidden="1"/>
    <row r="59" spans="2:25"/>
    <row r="60" spans="2:25"/>
  </sheetData>
  <conditionalFormatting sqref="A8 A11">
    <cfRule type="cellIs" dxfId="35" priority="3" operator="equal">
      <formula>"O"</formula>
    </cfRule>
    <cfRule type="cellIs" dxfId="34" priority="4" operator="equal">
      <formula>"P"</formula>
    </cfRule>
  </conditionalFormatting>
  <hyperlinks>
    <hyperlink ref="A5" location="'Sign off'!A1" display="Index"/>
  </hyperlinks>
  <printOptions horizontalCentered="1" headings="1"/>
  <pageMargins left="0" right="0" top="0" bottom="0.35433070866141736" header="0" footer="0"/>
  <pageSetup paperSize="8" scale="62" orientation="landscape" r:id="rId1"/>
  <headerFooter>
    <oddFooter>&amp;L&amp;Z&amp;F&amp;A&amp;C&amp;P&amp;R&amp;D</oddFooter>
  </headerFooter>
  <drawing r:id="rId2"/>
  <legacyDrawing r:id="rId3"/>
</worksheet>
</file>

<file path=xl/worksheets/sheet6.xml><?xml version="1.0" encoding="utf-8"?>
<worksheet xmlns="http://schemas.openxmlformats.org/spreadsheetml/2006/main" xmlns:r="http://schemas.openxmlformats.org/officeDocument/2006/relationships">
  <sheetPr codeName="Sheet9">
    <pageSetUpPr fitToPage="1"/>
  </sheetPr>
  <dimension ref="A1:Z29"/>
  <sheetViews>
    <sheetView zoomScale="90" zoomScaleNormal="90" zoomScaleSheetLayoutView="100" workbookViewId="0">
      <selection activeCell="F8" sqref="F8"/>
    </sheetView>
  </sheetViews>
  <sheetFormatPr defaultColWidth="0" defaultRowHeight="12.75" zeroHeight="1"/>
  <cols>
    <col min="1" max="1" width="20.6640625" style="28" customWidth="1"/>
    <col min="2" max="2" width="34.5" style="28" customWidth="1"/>
    <col min="3" max="3" width="12" style="28" customWidth="1"/>
    <col min="4" max="15" width="13.33203125" style="28" customWidth="1"/>
    <col min="16" max="16" width="13.33203125" style="115" customWidth="1"/>
    <col min="17" max="25" width="13.33203125" style="28" customWidth="1"/>
    <col min="26" max="26" width="12" style="28" customWidth="1"/>
    <col min="27" max="16384" width="12" style="28" hidden="1"/>
  </cols>
  <sheetData>
    <row r="1" spans="1:25" s="1" customFormat="1" ht="27.75" customHeight="1">
      <c r="C1" s="2" t="s">
        <v>185</v>
      </c>
    </row>
    <row r="2" spans="1:25" s="1" customFormat="1" ht="18" customHeight="1">
      <c r="C2" s="1" t="s">
        <v>169</v>
      </c>
      <c r="D2" s="3" t="str">
        <f>'Universal data'!$D$11</f>
        <v>Demo sands</v>
      </c>
    </row>
    <row r="3" spans="1:25" s="1" customFormat="1" ht="18" customHeight="1">
      <c r="C3" s="1" t="s">
        <v>170</v>
      </c>
      <c r="D3" s="3" t="str">
        <f>'Universal data'!$D$9</f>
        <v>[Offshore transmission operator 1]</v>
      </c>
      <c r="G3" s="5"/>
      <c r="H3" s="5"/>
      <c r="K3" s="5"/>
    </row>
    <row r="4" spans="1:25" s="1" customFormat="1" ht="18" customHeight="1">
      <c r="C4" s="1" t="s">
        <v>171</v>
      </c>
      <c r="D4" s="3" t="str">
        <f>'Universal data'!$D$12-1&amp;"-"&amp;'Universal data'!$D$12-2000</f>
        <v>2012-13</v>
      </c>
      <c r="G4" s="5"/>
      <c r="H4" s="5"/>
      <c r="K4" s="5"/>
    </row>
    <row r="5" spans="1:25">
      <c r="A5" s="26" t="s">
        <v>251</v>
      </c>
    </row>
    <row r="6" spans="1:25" ht="18">
      <c r="B6" s="191" t="s">
        <v>234</v>
      </c>
      <c r="O6" s="115"/>
      <c r="P6" s="28"/>
    </row>
    <row r="7" spans="1:25" ht="13.5" customHeight="1">
      <c r="A7" s="28" t="s">
        <v>266</v>
      </c>
      <c r="C7" s="191"/>
      <c r="O7" s="115"/>
      <c r="P7" s="28"/>
    </row>
    <row r="8" spans="1:25" s="90" customFormat="1">
      <c r="A8" s="379" t="s">
        <v>267</v>
      </c>
      <c r="C8" s="36"/>
      <c r="D8" s="91">
        <f>'1'!D8</f>
        <v>2011</v>
      </c>
      <c r="E8" s="91">
        <f>D8+1</f>
        <v>2012</v>
      </c>
      <c r="F8" s="91">
        <f t="shared" ref="F8:Y8" si="0">E8+1</f>
        <v>2013</v>
      </c>
      <c r="G8" s="91">
        <f t="shared" si="0"/>
        <v>2014</v>
      </c>
      <c r="H8" s="91">
        <f t="shared" si="0"/>
        <v>2015</v>
      </c>
      <c r="I8" s="91">
        <f t="shared" si="0"/>
        <v>2016</v>
      </c>
      <c r="J8" s="91">
        <f t="shared" si="0"/>
        <v>2017</v>
      </c>
      <c r="K8" s="91">
        <f t="shared" si="0"/>
        <v>2018</v>
      </c>
      <c r="L8" s="91">
        <f t="shared" si="0"/>
        <v>2019</v>
      </c>
      <c r="M8" s="91">
        <f t="shared" si="0"/>
        <v>2020</v>
      </c>
      <c r="N8" s="91">
        <f t="shared" si="0"/>
        <v>2021</v>
      </c>
      <c r="O8" s="91">
        <f t="shared" si="0"/>
        <v>2022</v>
      </c>
      <c r="P8" s="91">
        <f t="shared" si="0"/>
        <v>2023</v>
      </c>
      <c r="Q8" s="91">
        <f t="shared" si="0"/>
        <v>2024</v>
      </c>
      <c r="R8" s="91">
        <f t="shared" si="0"/>
        <v>2025</v>
      </c>
      <c r="S8" s="91">
        <f t="shared" si="0"/>
        <v>2026</v>
      </c>
      <c r="T8" s="91">
        <f t="shared" si="0"/>
        <v>2027</v>
      </c>
      <c r="U8" s="91">
        <f t="shared" si="0"/>
        <v>2028</v>
      </c>
      <c r="V8" s="91">
        <f t="shared" si="0"/>
        <v>2029</v>
      </c>
      <c r="W8" s="91">
        <f t="shared" si="0"/>
        <v>2030</v>
      </c>
      <c r="X8" s="91">
        <f t="shared" si="0"/>
        <v>2031</v>
      </c>
      <c r="Y8" s="91">
        <f t="shared" si="0"/>
        <v>2032</v>
      </c>
    </row>
    <row r="9" spans="1:25">
      <c r="A9" s="32"/>
      <c r="B9" s="164"/>
      <c r="C9" s="164"/>
      <c r="D9" s="164"/>
      <c r="E9" s="165"/>
      <c r="F9" s="164"/>
      <c r="G9" s="164"/>
      <c r="H9" s="164"/>
      <c r="I9" s="164"/>
      <c r="J9" s="164"/>
      <c r="K9" s="164"/>
      <c r="L9" s="164"/>
      <c r="M9" s="164"/>
      <c r="N9" s="164"/>
      <c r="O9" s="164"/>
      <c r="P9" s="164"/>
      <c r="Q9" s="164"/>
      <c r="R9" s="164"/>
      <c r="S9" s="164"/>
      <c r="T9" s="164"/>
      <c r="U9" s="164"/>
      <c r="V9" s="164"/>
      <c r="W9" s="164"/>
      <c r="X9" s="164"/>
      <c r="Y9" s="164"/>
    </row>
    <row r="10" spans="1:25" ht="27.75" customHeight="1">
      <c r="A10" s="32" t="s">
        <v>268</v>
      </c>
      <c r="B10" s="121" t="s">
        <v>84</v>
      </c>
      <c r="C10" s="135" t="s">
        <v>225</v>
      </c>
      <c r="D10" s="220">
        <f>'2b'!D10</f>
        <v>0</v>
      </c>
      <c r="E10" s="220">
        <f>'2b'!E10</f>
        <v>0</v>
      </c>
      <c r="F10" s="220">
        <f>'2b'!F10</f>
        <v>0</v>
      </c>
      <c r="G10" s="220">
        <f>'2b'!G10</f>
        <v>0</v>
      </c>
      <c r="H10" s="220">
        <f>'2b'!H10</f>
        <v>0</v>
      </c>
      <c r="I10" s="220">
        <f>'2b'!I10</f>
        <v>0</v>
      </c>
      <c r="J10" s="220">
        <f>'2b'!J10</f>
        <v>0</v>
      </c>
      <c r="K10" s="220">
        <f>'2b'!K10</f>
        <v>0</v>
      </c>
      <c r="L10" s="220">
        <f>'2b'!L10</f>
        <v>0</v>
      </c>
      <c r="M10" s="220">
        <f>'2b'!M10</f>
        <v>0</v>
      </c>
      <c r="N10" s="220">
        <f>'2b'!N10</f>
        <v>0</v>
      </c>
      <c r="O10" s="220">
        <f>'2b'!O10</f>
        <v>0</v>
      </c>
      <c r="P10" s="220">
        <f>'2b'!P10</f>
        <v>0</v>
      </c>
      <c r="Q10" s="220">
        <f>'2b'!Q10</f>
        <v>0</v>
      </c>
      <c r="R10" s="220">
        <f>'2b'!R10</f>
        <v>0</v>
      </c>
      <c r="S10" s="220">
        <f>'2b'!S10</f>
        <v>0</v>
      </c>
      <c r="T10" s="220">
        <f>'2b'!T10</f>
        <v>0</v>
      </c>
      <c r="U10" s="220">
        <f>'2b'!U10</f>
        <v>0</v>
      </c>
      <c r="V10" s="220">
        <f>'2b'!V10</f>
        <v>0</v>
      </c>
      <c r="W10" s="220">
        <f>'2b'!W10</f>
        <v>0</v>
      </c>
      <c r="X10" s="220">
        <f>'2b'!X10</f>
        <v>0</v>
      </c>
      <c r="Y10" s="220">
        <f>'2b'!Y10</f>
        <v>0</v>
      </c>
    </row>
    <row r="11" spans="1:25" ht="14.25">
      <c r="A11" s="379" t="s">
        <v>269</v>
      </c>
      <c r="B11" s="121" t="s">
        <v>85</v>
      </c>
      <c r="C11" s="135" t="s">
        <v>230</v>
      </c>
      <c r="D11" s="220">
        <f>'2c'!D10</f>
        <v>0</v>
      </c>
      <c r="E11" s="220">
        <f>'2c'!E10</f>
        <v>0</v>
      </c>
      <c r="F11" s="220">
        <f>'2c'!F10</f>
        <v>0</v>
      </c>
      <c r="G11" s="220">
        <f>'2c'!G10</f>
        <v>0</v>
      </c>
      <c r="H11" s="220">
        <f>'2c'!H10</f>
        <v>0</v>
      </c>
      <c r="I11" s="220">
        <f>'2c'!I10</f>
        <v>0</v>
      </c>
      <c r="J11" s="220">
        <f>'2c'!J10</f>
        <v>0</v>
      </c>
      <c r="K11" s="220">
        <f>'2c'!K10</f>
        <v>0</v>
      </c>
      <c r="L11" s="220">
        <f>'2c'!L10</f>
        <v>0</v>
      </c>
      <c r="M11" s="220">
        <f>'2c'!M10</f>
        <v>0</v>
      </c>
      <c r="N11" s="220">
        <f>'2c'!N10</f>
        <v>0</v>
      </c>
      <c r="O11" s="220">
        <f>'2c'!O10</f>
        <v>0</v>
      </c>
      <c r="P11" s="220">
        <f>'2c'!P10</f>
        <v>0</v>
      </c>
      <c r="Q11" s="220">
        <f>'2c'!Q10</f>
        <v>0</v>
      </c>
      <c r="R11" s="220">
        <f>'2c'!R10</f>
        <v>0</v>
      </c>
      <c r="S11" s="220">
        <f>'2c'!S10</f>
        <v>0</v>
      </c>
      <c r="T11" s="220">
        <f>'2c'!T10</f>
        <v>0</v>
      </c>
      <c r="U11" s="220">
        <f>'2c'!U10</f>
        <v>0</v>
      </c>
      <c r="V11" s="220">
        <f>'2c'!V10</f>
        <v>0</v>
      </c>
      <c r="W11" s="220">
        <f>'2c'!W10</f>
        <v>0</v>
      </c>
      <c r="X11" s="220">
        <f>'2c'!X10</f>
        <v>0</v>
      </c>
      <c r="Y11" s="220">
        <f>'2c'!Y10</f>
        <v>0</v>
      </c>
    </row>
    <row r="12" spans="1:25" ht="25.5">
      <c r="A12" s="414"/>
      <c r="B12" s="121" t="s">
        <v>100</v>
      </c>
      <c r="C12" s="135" t="s">
        <v>231</v>
      </c>
      <c r="D12" s="220">
        <f>'2d'!D12</f>
        <v>0</v>
      </c>
      <c r="E12" s="220">
        <f>'2d'!E12</f>
        <v>0</v>
      </c>
      <c r="F12" s="220">
        <f>'2d'!F12</f>
        <v>0</v>
      </c>
      <c r="G12" s="220">
        <f>'2d'!G12</f>
        <v>0</v>
      </c>
      <c r="H12" s="220">
        <f>'2d'!H12</f>
        <v>0</v>
      </c>
      <c r="I12" s="220">
        <f>'2d'!I12</f>
        <v>0</v>
      </c>
      <c r="J12" s="220">
        <f>'2d'!J12</f>
        <v>0</v>
      </c>
      <c r="K12" s="220">
        <f>'2d'!K12</f>
        <v>0</v>
      </c>
      <c r="L12" s="220">
        <f>'2d'!L12</f>
        <v>0</v>
      </c>
      <c r="M12" s="220">
        <f>'2d'!M12</f>
        <v>0</v>
      </c>
      <c r="N12" s="220">
        <f>'2d'!N12</f>
        <v>0</v>
      </c>
      <c r="O12" s="220">
        <f>'2d'!O12</f>
        <v>0</v>
      </c>
      <c r="P12" s="220">
        <f>'2d'!P12</f>
        <v>0</v>
      </c>
      <c r="Q12" s="220">
        <f>'2d'!Q12</f>
        <v>0</v>
      </c>
      <c r="R12" s="220">
        <f>'2d'!R12</f>
        <v>0</v>
      </c>
      <c r="S12" s="220">
        <f ca="1">'2d'!S12</f>
        <v>0</v>
      </c>
      <c r="T12" s="220">
        <f ca="1">'2d'!T12</f>
        <v>0</v>
      </c>
      <c r="U12" s="220">
        <f ca="1">'2d'!U12</f>
        <v>0</v>
      </c>
      <c r="V12" s="220">
        <f ca="1">'2d'!V12</f>
        <v>0</v>
      </c>
      <c r="W12" s="220">
        <f ca="1">'2d'!W12</f>
        <v>0</v>
      </c>
      <c r="X12" s="220">
        <f ca="1">'2d'!X12</f>
        <v>0</v>
      </c>
      <c r="Y12" s="220">
        <f ca="1">'2d'!Y12</f>
        <v>0</v>
      </c>
    </row>
    <row r="13" spans="1:25" ht="25.5">
      <c r="A13" s="415" t="b">
        <v>0</v>
      </c>
      <c r="B13" s="121" t="s">
        <v>262</v>
      </c>
      <c r="C13" s="135" t="s">
        <v>232</v>
      </c>
      <c r="D13" s="216">
        <f>'2e'!D10</f>
        <v>0</v>
      </c>
      <c r="E13" s="216">
        <f>'2e'!E10</f>
        <v>0</v>
      </c>
      <c r="F13" s="216">
        <f>'2e'!F10</f>
        <v>0</v>
      </c>
      <c r="G13" s="216">
        <f>'2e'!G10</f>
        <v>0</v>
      </c>
      <c r="H13" s="216">
        <f>'2e'!H10</f>
        <v>0</v>
      </c>
      <c r="I13" s="216">
        <f>'2e'!I10</f>
        <v>0</v>
      </c>
      <c r="J13" s="216">
        <f>'2e'!J10</f>
        <v>0</v>
      </c>
      <c r="K13" s="216">
        <f>'2e'!K10</f>
        <v>0</v>
      </c>
      <c r="L13" s="216">
        <f>'2e'!L10</f>
        <v>0</v>
      </c>
      <c r="M13" s="216">
        <f>'2e'!M10</f>
        <v>0</v>
      </c>
      <c r="N13" s="216">
        <f>'2e'!N10</f>
        <v>0</v>
      </c>
      <c r="O13" s="216">
        <f>'2e'!O10</f>
        <v>0</v>
      </c>
      <c r="P13" s="216">
        <f>'2e'!P10</f>
        <v>0</v>
      </c>
      <c r="Q13" s="216">
        <f>'2e'!Q10</f>
        <v>0</v>
      </c>
      <c r="R13" s="216">
        <f>'2e'!R10</f>
        <v>0</v>
      </c>
      <c r="S13" s="216">
        <f>'2e'!S10</f>
        <v>0</v>
      </c>
      <c r="T13" s="216">
        <f ca="1">'2e'!T10</f>
        <v>0</v>
      </c>
      <c r="U13" s="216">
        <f ca="1">'2e'!U10</f>
        <v>0</v>
      </c>
      <c r="V13" s="216">
        <f ca="1">'2e'!V10</f>
        <v>0</v>
      </c>
      <c r="W13" s="216">
        <f ca="1">'2e'!W10</f>
        <v>0</v>
      </c>
      <c r="X13" s="216">
        <f ca="1">'2e'!X10</f>
        <v>0</v>
      </c>
      <c r="Y13" s="216">
        <f ca="1">'2e'!Y10</f>
        <v>0</v>
      </c>
    </row>
    <row r="14" spans="1:25">
      <c r="B14" s="183"/>
      <c r="C14" s="218"/>
      <c r="D14" s="184"/>
      <c r="E14" s="184"/>
      <c r="F14" s="184"/>
      <c r="G14" s="184"/>
      <c r="H14" s="184"/>
      <c r="I14" s="184"/>
      <c r="J14" s="184"/>
      <c r="K14" s="184"/>
      <c r="L14" s="184"/>
      <c r="M14" s="184"/>
      <c r="N14" s="184"/>
      <c r="O14" s="184"/>
      <c r="P14" s="184"/>
      <c r="Q14" s="184"/>
      <c r="R14" s="184"/>
      <c r="S14" s="184"/>
      <c r="T14" s="184"/>
      <c r="U14" s="184"/>
      <c r="V14" s="184"/>
      <c r="W14" s="184"/>
      <c r="X14" s="184"/>
      <c r="Y14" s="184"/>
    </row>
    <row r="15" spans="1:25" ht="25.5">
      <c r="B15" s="156" t="s">
        <v>308</v>
      </c>
      <c r="C15" s="135" t="s">
        <v>214</v>
      </c>
      <c r="D15" s="221">
        <f t="shared" ref="D15:X15" si="1">D10+D11+D12-D13</f>
        <v>0</v>
      </c>
      <c r="E15" s="221">
        <f t="shared" si="1"/>
        <v>0</v>
      </c>
      <c r="F15" s="221">
        <f t="shared" si="1"/>
        <v>0</v>
      </c>
      <c r="G15" s="221">
        <f t="shared" si="1"/>
        <v>0</v>
      </c>
      <c r="H15" s="221">
        <f t="shared" si="1"/>
        <v>0</v>
      </c>
      <c r="I15" s="221">
        <f t="shared" si="1"/>
        <v>0</v>
      </c>
      <c r="J15" s="221">
        <f t="shared" si="1"/>
        <v>0</v>
      </c>
      <c r="K15" s="221">
        <f t="shared" si="1"/>
        <v>0</v>
      </c>
      <c r="L15" s="221">
        <f t="shared" si="1"/>
        <v>0</v>
      </c>
      <c r="M15" s="221">
        <f t="shared" si="1"/>
        <v>0</v>
      </c>
      <c r="N15" s="221">
        <f t="shared" si="1"/>
        <v>0</v>
      </c>
      <c r="O15" s="221">
        <f t="shared" si="1"/>
        <v>0</v>
      </c>
      <c r="P15" s="221">
        <f t="shared" si="1"/>
        <v>0</v>
      </c>
      <c r="Q15" s="221">
        <f t="shared" si="1"/>
        <v>0</v>
      </c>
      <c r="R15" s="221">
        <f t="shared" si="1"/>
        <v>0</v>
      </c>
      <c r="S15" s="221">
        <f t="shared" ca="1" si="1"/>
        <v>0</v>
      </c>
      <c r="T15" s="221">
        <f t="shared" ca="1" si="1"/>
        <v>0</v>
      </c>
      <c r="U15" s="221">
        <f t="shared" ca="1" si="1"/>
        <v>0</v>
      </c>
      <c r="V15" s="221">
        <f t="shared" ca="1" si="1"/>
        <v>0</v>
      </c>
      <c r="W15" s="221">
        <f t="shared" ca="1" si="1"/>
        <v>0</v>
      </c>
      <c r="X15" s="221">
        <f t="shared" ca="1" si="1"/>
        <v>0</v>
      </c>
      <c r="Y15" s="221">
        <f t="shared" ref="Y15" ca="1" si="2">Y10+Y11+Y12-Y13</f>
        <v>0</v>
      </c>
    </row>
    <row r="16" spans="1:25" s="169" customFormat="1" ht="14.25">
      <c r="B16" s="51" t="s">
        <v>306</v>
      </c>
      <c r="C16" s="219"/>
      <c r="D16" s="185"/>
      <c r="E16" s="185"/>
      <c r="F16" s="185"/>
      <c r="G16" s="185"/>
      <c r="H16" s="185"/>
      <c r="I16" s="185"/>
      <c r="J16" s="185"/>
      <c r="K16" s="185"/>
      <c r="L16" s="185"/>
      <c r="M16" s="185"/>
      <c r="N16" s="185"/>
      <c r="O16" s="186"/>
      <c r="P16" s="185"/>
      <c r="Q16" s="185"/>
      <c r="R16" s="185"/>
      <c r="S16" s="185"/>
      <c r="T16" s="185"/>
      <c r="U16" s="185"/>
      <c r="V16" s="185"/>
      <c r="W16" s="185"/>
      <c r="X16" s="185"/>
      <c r="Y16" s="185"/>
    </row>
    <row r="17" spans="2:25" ht="25.5">
      <c r="B17" s="156" t="s">
        <v>86</v>
      </c>
      <c r="C17" s="135" t="s">
        <v>213</v>
      </c>
      <c r="D17" s="220">
        <f>'1'!D11</f>
        <v>0</v>
      </c>
      <c r="E17" s="220">
        <f>'1'!E11</f>
        <v>0</v>
      </c>
      <c r="F17" s="220">
        <f>'1'!F11</f>
        <v>0</v>
      </c>
      <c r="G17" s="220">
        <f>'1'!G11</f>
        <v>0</v>
      </c>
      <c r="H17" s="220">
        <f>'1'!H11</f>
        <v>0</v>
      </c>
      <c r="I17" s="220">
        <f>'1'!I11</f>
        <v>0</v>
      </c>
      <c r="J17" s="220">
        <f>'1'!J11</f>
        <v>0</v>
      </c>
      <c r="K17" s="220">
        <f>'1'!K11</f>
        <v>0</v>
      </c>
      <c r="L17" s="220">
        <f>'1'!L11</f>
        <v>0</v>
      </c>
      <c r="M17" s="220">
        <f>'1'!M11</f>
        <v>0</v>
      </c>
      <c r="N17" s="220">
        <f>'1'!N11</f>
        <v>0</v>
      </c>
      <c r="O17" s="220">
        <f>'1'!O11</f>
        <v>0</v>
      </c>
      <c r="P17" s="220">
        <f>'1'!P11</f>
        <v>0</v>
      </c>
      <c r="Q17" s="220">
        <f>'1'!Q11</f>
        <v>0</v>
      </c>
      <c r="R17" s="220">
        <f>'1'!R11</f>
        <v>0</v>
      </c>
      <c r="S17" s="220">
        <f>'1'!S11</f>
        <v>0</v>
      </c>
      <c r="T17" s="220">
        <f>'1'!T11</f>
        <v>0</v>
      </c>
      <c r="U17" s="220">
        <f>'1'!U11</f>
        <v>0</v>
      </c>
      <c r="V17" s="220">
        <f>'1'!V11</f>
        <v>0</v>
      </c>
      <c r="W17" s="220">
        <f>'1'!W11</f>
        <v>0</v>
      </c>
      <c r="X17" s="220">
        <f>'1'!X11</f>
        <v>0</v>
      </c>
      <c r="Y17" s="220">
        <f>'1'!Y11</f>
        <v>0</v>
      </c>
    </row>
    <row r="18" spans="2:25">
      <c r="B18" s="183"/>
      <c r="C18" s="158"/>
      <c r="D18" s="222"/>
      <c r="E18" s="222"/>
      <c r="F18" s="222"/>
      <c r="G18" s="222"/>
      <c r="H18" s="222"/>
      <c r="I18" s="222"/>
      <c r="J18" s="222"/>
      <c r="K18" s="222"/>
      <c r="L18" s="222"/>
      <c r="M18" s="222"/>
      <c r="N18" s="222"/>
      <c r="O18" s="222"/>
      <c r="P18" s="222"/>
      <c r="Q18" s="222"/>
      <c r="R18" s="222"/>
      <c r="S18" s="222"/>
      <c r="T18" s="222"/>
      <c r="U18" s="222"/>
      <c r="V18" s="222"/>
      <c r="W18" s="222"/>
      <c r="X18" s="222"/>
      <c r="Y18" s="222"/>
    </row>
    <row r="19" spans="2:25">
      <c r="B19" s="156" t="s">
        <v>315</v>
      </c>
      <c r="C19" s="135"/>
      <c r="D19" s="221">
        <f t="shared" ref="D19:X19" si="3">D17-D15</f>
        <v>0</v>
      </c>
      <c r="E19" s="221">
        <f t="shared" si="3"/>
        <v>0</v>
      </c>
      <c r="F19" s="221">
        <f t="shared" si="3"/>
        <v>0</v>
      </c>
      <c r="G19" s="221">
        <f t="shared" si="3"/>
        <v>0</v>
      </c>
      <c r="H19" s="221">
        <f t="shared" si="3"/>
        <v>0</v>
      </c>
      <c r="I19" s="221">
        <f t="shared" si="3"/>
        <v>0</v>
      </c>
      <c r="J19" s="221">
        <f t="shared" si="3"/>
        <v>0</v>
      </c>
      <c r="K19" s="221">
        <f t="shared" si="3"/>
        <v>0</v>
      </c>
      <c r="L19" s="221">
        <f t="shared" si="3"/>
        <v>0</v>
      </c>
      <c r="M19" s="221">
        <f t="shared" si="3"/>
        <v>0</v>
      </c>
      <c r="N19" s="221">
        <f t="shared" si="3"/>
        <v>0</v>
      </c>
      <c r="O19" s="221">
        <f t="shared" si="3"/>
        <v>0</v>
      </c>
      <c r="P19" s="221">
        <f t="shared" si="3"/>
        <v>0</v>
      </c>
      <c r="Q19" s="221">
        <f t="shared" si="3"/>
        <v>0</v>
      </c>
      <c r="R19" s="221">
        <f t="shared" si="3"/>
        <v>0</v>
      </c>
      <c r="S19" s="221">
        <f t="shared" ca="1" si="3"/>
        <v>0</v>
      </c>
      <c r="T19" s="221">
        <f t="shared" ca="1" si="3"/>
        <v>0</v>
      </c>
      <c r="U19" s="221">
        <f t="shared" ca="1" si="3"/>
        <v>0</v>
      </c>
      <c r="V19" s="221">
        <f t="shared" ca="1" si="3"/>
        <v>0</v>
      </c>
      <c r="W19" s="221">
        <f t="shared" ca="1" si="3"/>
        <v>0</v>
      </c>
      <c r="X19" s="221">
        <f t="shared" ca="1" si="3"/>
        <v>0</v>
      </c>
      <c r="Y19" s="223"/>
    </row>
    <row r="20" spans="2:25">
      <c r="B20" s="133"/>
      <c r="C20" s="133"/>
      <c r="D20" s="133"/>
      <c r="E20" s="133"/>
      <c r="F20" s="133"/>
      <c r="G20" s="133"/>
      <c r="H20" s="133"/>
      <c r="I20" s="133"/>
      <c r="J20" s="133"/>
      <c r="K20" s="133"/>
      <c r="L20" s="133"/>
      <c r="M20" s="133"/>
      <c r="N20" s="133"/>
      <c r="O20" s="173"/>
      <c r="P20" s="133"/>
      <c r="Q20" s="133"/>
      <c r="R20" s="133"/>
      <c r="S20" s="133"/>
      <c r="T20" s="133"/>
      <c r="U20" s="133"/>
      <c r="V20" s="133"/>
      <c r="W20" s="133"/>
      <c r="X20" s="133"/>
      <c r="Y20" s="133"/>
    </row>
    <row r="21" spans="2:25"/>
    <row r="22" spans="2:25" hidden="1">
      <c r="D22" s="187"/>
    </row>
    <row r="23" spans="2:25" hidden="1"/>
    <row r="24" spans="2:25" hidden="1"/>
    <row r="25" spans="2:25" hidden="1"/>
    <row r="26" spans="2:25" hidden="1"/>
    <row r="27" spans="2:25" hidden="1"/>
    <row r="28" spans="2:25" hidden="1"/>
    <row r="29" spans="2:25" hidden="1"/>
  </sheetData>
  <sheetProtection sheet="1" objects="1" scenarios="1"/>
  <conditionalFormatting sqref="A8 A11">
    <cfRule type="cellIs" dxfId="33" priority="3" operator="equal">
      <formula>"O"</formula>
    </cfRule>
    <cfRule type="cellIs" dxfId="32" priority="4" operator="equal">
      <formula>"P"</formula>
    </cfRule>
  </conditionalFormatting>
  <hyperlinks>
    <hyperlink ref="A5" location="'Sign off'!A1" display="Index"/>
  </hyperlinks>
  <printOptions horizontalCentered="1" headings="1"/>
  <pageMargins left="0" right="0" top="0" bottom="0.35433070866141736" header="0" footer="0"/>
  <pageSetup paperSize="8" scale="62" orientation="landscape" r:id="rId1"/>
  <headerFooter>
    <oddFooter>&amp;L&amp;Z&amp;F&amp;A&amp;C&amp;P&amp;R&amp;D</oddFooter>
  </headerFooter>
  <drawing r:id="rId2"/>
  <legacyDrawing r:id="rId3"/>
</worksheet>
</file>

<file path=xl/worksheets/sheet7.xml><?xml version="1.0" encoding="utf-8"?>
<worksheet xmlns="http://schemas.openxmlformats.org/spreadsheetml/2006/main" xmlns:r="http://schemas.openxmlformats.org/officeDocument/2006/relationships">
  <sheetPr codeName="Sheet10">
    <pageSetUpPr fitToPage="1"/>
  </sheetPr>
  <dimension ref="A1:Z29"/>
  <sheetViews>
    <sheetView zoomScaleNormal="100" zoomScaleSheetLayoutView="100" workbookViewId="0">
      <selection activeCell="G8" sqref="G8"/>
    </sheetView>
  </sheetViews>
  <sheetFormatPr defaultColWidth="0" defaultRowHeight="12.75" zeroHeight="1"/>
  <cols>
    <col min="1" max="1" width="20.6640625" style="28" customWidth="1"/>
    <col min="2" max="2" width="34.5" style="28" customWidth="1"/>
    <col min="3" max="3" width="12" style="28" customWidth="1"/>
    <col min="4" max="15" width="13.33203125" style="28" customWidth="1"/>
    <col min="16" max="16" width="13.33203125" style="115" customWidth="1"/>
    <col min="17" max="25" width="13.33203125" style="28" customWidth="1"/>
    <col min="26" max="26" width="12" style="28" customWidth="1"/>
    <col min="27" max="16384" width="12" style="28" hidden="1"/>
  </cols>
  <sheetData>
    <row r="1" spans="1:25" s="1" customFormat="1" ht="27.75" customHeight="1">
      <c r="C1" s="2" t="s">
        <v>185</v>
      </c>
    </row>
    <row r="2" spans="1:25" s="1" customFormat="1" ht="18" customHeight="1">
      <c r="C2" s="1" t="s">
        <v>169</v>
      </c>
      <c r="D2" s="3" t="str">
        <f>'Universal data'!$D$11</f>
        <v>Demo sands</v>
      </c>
    </row>
    <row r="3" spans="1:25" s="1" customFormat="1" ht="18" customHeight="1">
      <c r="C3" s="1" t="s">
        <v>170</v>
      </c>
      <c r="D3" s="3" t="str">
        <f>'Universal data'!$D$9</f>
        <v>[Offshore transmission operator 1]</v>
      </c>
      <c r="G3" s="5"/>
      <c r="H3" s="5"/>
      <c r="K3" s="5"/>
    </row>
    <row r="4" spans="1:25" s="1" customFormat="1" ht="18" customHeight="1">
      <c r="C4" s="1" t="s">
        <v>171</v>
      </c>
      <c r="D4" s="3" t="str">
        <f>'Universal data'!$D$12-1&amp;"-"&amp;'Universal data'!$D$12-2000</f>
        <v>2012-13</v>
      </c>
      <c r="G4" s="5"/>
      <c r="H4" s="5"/>
      <c r="K4" s="5"/>
    </row>
    <row r="5" spans="1:25">
      <c r="A5" s="26" t="s">
        <v>251</v>
      </c>
    </row>
    <row r="6" spans="1:25" ht="18">
      <c r="B6" s="191" t="s">
        <v>235</v>
      </c>
      <c r="O6" s="115"/>
      <c r="P6" s="28"/>
    </row>
    <row r="7" spans="1:25">
      <c r="A7" s="28" t="s">
        <v>266</v>
      </c>
      <c r="O7" s="115"/>
      <c r="P7" s="28"/>
    </row>
    <row r="8" spans="1:25" s="90" customFormat="1">
      <c r="A8" s="379" t="s">
        <v>267</v>
      </c>
      <c r="C8" s="36"/>
      <c r="D8" s="91">
        <f>'1'!D8</f>
        <v>2011</v>
      </c>
      <c r="E8" s="91">
        <f>D8+1</f>
        <v>2012</v>
      </c>
      <c r="F8" s="91">
        <f t="shared" ref="F8:Y8" si="0">E8+1</f>
        <v>2013</v>
      </c>
      <c r="G8" s="91">
        <f t="shared" si="0"/>
        <v>2014</v>
      </c>
      <c r="H8" s="91">
        <f t="shared" si="0"/>
        <v>2015</v>
      </c>
      <c r="I8" s="91">
        <f t="shared" si="0"/>
        <v>2016</v>
      </c>
      <c r="J8" s="91">
        <f t="shared" si="0"/>
        <v>2017</v>
      </c>
      <c r="K8" s="91">
        <f t="shared" si="0"/>
        <v>2018</v>
      </c>
      <c r="L8" s="91">
        <f t="shared" si="0"/>
        <v>2019</v>
      </c>
      <c r="M8" s="91">
        <f t="shared" si="0"/>
        <v>2020</v>
      </c>
      <c r="N8" s="91">
        <f t="shared" si="0"/>
        <v>2021</v>
      </c>
      <c r="O8" s="91">
        <f t="shared" si="0"/>
        <v>2022</v>
      </c>
      <c r="P8" s="91">
        <f t="shared" si="0"/>
        <v>2023</v>
      </c>
      <c r="Q8" s="91">
        <f t="shared" si="0"/>
        <v>2024</v>
      </c>
      <c r="R8" s="91">
        <f t="shared" si="0"/>
        <v>2025</v>
      </c>
      <c r="S8" s="91">
        <f t="shared" si="0"/>
        <v>2026</v>
      </c>
      <c r="T8" s="91">
        <f t="shared" si="0"/>
        <v>2027</v>
      </c>
      <c r="U8" s="91">
        <f t="shared" si="0"/>
        <v>2028</v>
      </c>
      <c r="V8" s="91">
        <f t="shared" si="0"/>
        <v>2029</v>
      </c>
      <c r="W8" s="91">
        <f t="shared" si="0"/>
        <v>2030</v>
      </c>
      <c r="X8" s="91">
        <f t="shared" si="0"/>
        <v>2031</v>
      </c>
      <c r="Y8" s="91">
        <f t="shared" si="0"/>
        <v>2032</v>
      </c>
    </row>
    <row r="9" spans="1:25">
      <c r="A9" s="32"/>
      <c r="B9" s="164"/>
      <c r="C9" s="164"/>
      <c r="D9" s="164"/>
      <c r="E9" s="165"/>
      <c r="F9" s="164"/>
      <c r="G9" s="164"/>
      <c r="H9" s="164"/>
      <c r="I9" s="164"/>
      <c r="J9" s="164"/>
      <c r="K9" s="164"/>
      <c r="L9" s="164"/>
      <c r="M9" s="164"/>
      <c r="N9" s="164"/>
      <c r="O9" s="164"/>
      <c r="P9" s="164"/>
      <c r="Q9" s="164"/>
      <c r="R9" s="164"/>
      <c r="S9" s="164"/>
      <c r="T9" s="164"/>
      <c r="U9" s="164"/>
      <c r="V9" s="164"/>
      <c r="W9" s="164"/>
      <c r="X9" s="164"/>
      <c r="Y9" s="164"/>
    </row>
    <row r="10" spans="1:25" ht="14.25">
      <c r="A10" s="32" t="s">
        <v>268</v>
      </c>
      <c r="B10" s="156" t="s">
        <v>67</v>
      </c>
      <c r="C10" s="135" t="s">
        <v>225</v>
      </c>
      <c r="D10" s="221">
        <f>(D12+D13+D14)*D15*D16</f>
        <v>0</v>
      </c>
      <c r="E10" s="221">
        <f t="shared" ref="E10:V10" si="1">(E12+E13+E14)*E15*E16</f>
        <v>0</v>
      </c>
      <c r="F10" s="221">
        <f t="shared" si="1"/>
        <v>0</v>
      </c>
      <c r="G10" s="221">
        <f t="shared" si="1"/>
        <v>0</v>
      </c>
      <c r="H10" s="221">
        <f t="shared" si="1"/>
        <v>0</v>
      </c>
      <c r="I10" s="221">
        <f t="shared" si="1"/>
        <v>0</v>
      </c>
      <c r="J10" s="221">
        <f t="shared" si="1"/>
        <v>0</v>
      </c>
      <c r="K10" s="221">
        <f t="shared" si="1"/>
        <v>0</v>
      </c>
      <c r="L10" s="221">
        <f t="shared" si="1"/>
        <v>0</v>
      </c>
      <c r="M10" s="221">
        <f t="shared" si="1"/>
        <v>0</v>
      </c>
      <c r="N10" s="221">
        <f t="shared" si="1"/>
        <v>0</v>
      </c>
      <c r="O10" s="221">
        <f t="shared" si="1"/>
        <v>0</v>
      </c>
      <c r="P10" s="221">
        <f t="shared" si="1"/>
        <v>0</v>
      </c>
      <c r="Q10" s="221">
        <f t="shared" si="1"/>
        <v>0</v>
      </c>
      <c r="R10" s="221">
        <f t="shared" si="1"/>
        <v>0</v>
      </c>
      <c r="S10" s="221">
        <f t="shared" si="1"/>
        <v>0</v>
      </c>
      <c r="T10" s="221">
        <f t="shared" si="1"/>
        <v>0</v>
      </c>
      <c r="U10" s="221">
        <f t="shared" si="1"/>
        <v>0</v>
      </c>
      <c r="V10" s="221">
        <f t="shared" si="1"/>
        <v>0</v>
      </c>
      <c r="W10" s="221">
        <f>(W12+W13+W14)*W15*W16</f>
        <v>0</v>
      </c>
      <c r="X10" s="221">
        <f>(X12+X13+X14)*X15*X16</f>
        <v>0</v>
      </c>
      <c r="Y10" s="137"/>
    </row>
    <row r="11" spans="1:25" ht="14.25">
      <c r="A11" s="379" t="s">
        <v>269</v>
      </c>
      <c r="B11" s="123" t="s">
        <v>226</v>
      </c>
      <c r="C11" s="175"/>
      <c r="D11" s="224"/>
      <c r="E11" s="225"/>
      <c r="F11" s="225"/>
      <c r="G11" s="225"/>
      <c r="H11" s="225"/>
      <c r="I11" s="225"/>
      <c r="J11" s="225"/>
      <c r="K11" s="225"/>
      <c r="L11" s="225"/>
      <c r="M11" s="225"/>
      <c r="N11" s="225"/>
      <c r="O11" s="225"/>
      <c r="P11" s="225"/>
      <c r="Q11" s="225"/>
      <c r="R11" s="225"/>
      <c r="S11" s="225"/>
      <c r="T11" s="225"/>
      <c r="U11" s="225"/>
      <c r="V11" s="225"/>
      <c r="W11" s="225"/>
      <c r="X11" s="225"/>
      <c r="Y11" s="176"/>
    </row>
    <row r="12" spans="1:25" ht="25.5">
      <c r="A12" s="414"/>
      <c r="B12" s="124" t="s">
        <v>128</v>
      </c>
      <c r="C12" s="125" t="s">
        <v>97</v>
      </c>
      <c r="D12" s="215">
        <f>'1'!D29</f>
        <v>0</v>
      </c>
      <c r="E12" s="215">
        <f>'1'!E29</f>
        <v>0</v>
      </c>
      <c r="F12" s="215">
        <f>'1'!F29</f>
        <v>0</v>
      </c>
      <c r="G12" s="215">
        <f>'1'!G29</f>
        <v>0</v>
      </c>
      <c r="H12" s="215">
        <f>'1'!H29</f>
        <v>0</v>
      </c>
      <c r="I12" s="215">
        <f>'1'!I29</f>
        <v>0</v>
      </c>
      <c r="J12" s="215">
        <f>'1'!J29</f>
        <v>0</v>
      </c>
      <c r="K12" s="215">
        <f>'1'!K29</f>
        <v>0</v>
      </c>
      <c r="L12" s="215">
        <f>'1'!L29</f>
        <v>0</v>
      </c>
      <c r="M12" s="215">
        <f>'1'!M29</f>
        <v>0</v>
      </c>
      <c r="N12" s="215">
        <f>'1'!N29</f>
        <v>0</v>
      </c>
      <c r="O12" s="215">
        <f>'1'!O29</f>
        <v>0</v>
      </c>
      <c r="P12" s="215">
        <f>'1'!P29</f>
        <v>0</v>
      </c>
      <c r="Q12" s="215">
        <f>'1'!Q29</f>
        <v>0</v>
      </c>
      <c r="R12" s="215">
        <f>'1'!R29</f>
        <v>0</v>
      </c>
      <c r="S12" s="215">
        <f>'1'!S29</f>
        <v>0</v>
      </c>
      <c r="T12" s="215">
        <f>'1'!T29</f>
        <v>0</v>
      </c>
      <c r="U12" s="215">
        <f>'1'!U29</f>
        <v>0</v>
      </c>
      <c r="V12" s="215">
        <f>'1'!V29</f>
        <v>0</v>
      </c>
      <c r="W12" s="215">
        <f>'1'!W29</f>
        <v>0</v>
      </c>
      <c r="X12" s="215">
        <f>'1'!X29</f>
        <v>0</v>
      </c>
      <c r="Y12" s="177"/>
    </row>
    <row r="13" spans="1:25" ht="25.5">
      <c r="A13" s="415" t="b">
        <v>0</v>
      </c>
      <c r="B13" s="124" t="s">
        <v>129</v>
      </c>
      <c r="C13" s="125" t="s">
        <v>98</v>
      </c>
      <c r="D13" s="217">
        <f>'1'!D30</f>
        <v>0</v>
      </c>
      <c r="E13" s="217">
        <f>'1'!E30</f>
        <v>0</v>
      </c>
      <c r="F13" s="217">
        <f>'1'!F30</f>
        <v>0</v>
      </c>
      <c r="G13" s="217">
        <f>'1'!G30</f>
        <v>0</v>
      </c>
      <c r="H13" s="217">
        <f>'1'!H30</f>
        <v>0</v>
      </c>
      <c r="I13" s="217">
        <f>'1'!I30</f>
        <v>0</v>
      </c>
      <c r="J13" s="217">
        <f>'1'!J30</f>
        <v>0</v>
      </c>
      <c r="K13" s="217">
        <f>'1'!K30</f>
        <v>0</v>
      </c>
      <c r="L13" s="217">
        <f>'1'!L30</f>
        <v>0</v>
      </c>
      <c r="M13" s="217">
        <f>'1'!M30</f>
        <v>0</v>
      </c>
      <c r="N13" s="217">
        <f>'1'!N30</f>
        <v>0</v>
      </c>
      <c r="O13" s="217">
        <f>'1'!O30</f>
        <v>0</v>
      </c>
      <c r="P13" s="217">
        <f>'1'!P30</f>
        <v>0</v>
      </c>
      <c r="Q13" s="217">
        <f>'1'!Q30</f>
        <v>0</v>
      </c>
      <c r="R13" s="217">
        <f>'1'!R30</f>
        <v>0</v>
      </c>
      <c r="S13" s="217">
        <f>'1'!S30</f>
        <v>0</v>
      </c>
      <c r="T13" s="217">
        <f>'1'!T30</f>
        <v>0</v>
      </c>
      <c r="U13" s="217">
        <f>'1'!U30</f>
        <v>0</v>
      </c>
      <c r="V13" s="217">
        <f>'1'!V30</f>
        <v>0</v>
      </c>
      <c r="W13" s="217">
        <f>'1'!W30</f>
        <v>0</v>
      </c>
      <c r="X13" s="217">
        <f>'1'!X30</f>
        <v>0</v>
      </c>
      <c r="Y13" s="141"/>
    </row>
    <row r="14" spans="1:25" ht="25.5">
      <c r="B14" s="124" t="s">
        <v>130</v>
      </c>
      <c r="C14" s="125" t="s">
        <v>99</v>
      </c>
      <c r="D14" s="217">
        <f>'1'!D31</f>
        <v>0</v>
      </c>
      <c r="E14" s="217">
        <f>'1'!E31</f>
        <v>0</v>
      </c>
      <c r="F14" s="217">
        <f>'1'!F31</f>
        <v>0</v>
      </c>
      <c r="G14" s="217">
        <f>'1'!G31</f>
        <v>0</v>
      </c>
      <c r="H14" s="217">
        <f>'1'!H31</f>
        <v>0</v>
      </c>
      <c r="I14" s="217">
        <f>'1'!I31</f>
        <v>0</v>
      </c>
      <c r="J14" s="217">
        <f>'1'!J31</f>
        <v>0</v>
      </c>
      <c r="K14" s="217">
        <f>'1'!K31</f>
        <v>0</v>
      </c>
      <c r="L14" s="217">
        <f>'1'!L31</f>
        <v>0</v>
      </c>
      <c r="M14" s="217">
        <f>'1'!M31</f>
        <v>0</v>
      </c>
      <c r="N14" s="217">
        <f>'1'!N31</f>
        <v>0</v>
      </c>
      <c r="O14" s="217">
        <f>'1'!O31</f>
        <v>0</v>
      </c>
      <c r="P14" s="217">
        <f>'1'!P31</f>
        <v>0</v>
      </c>
      <c r="Q14" s="217">
        <f>'1'!Q31</f>
        <v>0</v>
      </c>
      <c r="R14" s="217">
        <f>'1'!R31</f>
        <v>0</v>
      </c>
      <c r="S14" s="217">
        <f>'1'!S31</f>
        <v>0</v>
      </c>
      <c r="T14" s="217">
        <f>'1'!T31</f>
        <v>0</v>
      </c>
      <c r="U14" s="217">
        <f>'1'!U31</f>
        <v>0</v>
      </c>
      <c r="V14" s="217">
        <f>'1'!V31</f>
        <v>0</v>
      </c>
      <c r="W14" s="217">
        <f>'1'!W31</f>
        <v>0</v>
      </c>
      <c r="X14" s="217">
        <f>'1'!X31</f>
        <v>0</v>
      </c>
      <c r="Y14" s="141"/>
    </row>
    <row r="15" spans="1:25" ht="14.25">
      <c r="B15" s="124" t="s">
        <v>65</v>
      </c>
      <c r="C15" s="125" t="s">
        <v>194</v>
      </c>
      <c r="D15" s="226">
        <f>'1'!D32</f>
        <v>0.9</v>
      </c>
      <c r="E15" s="226">
        <f>'1'!E32</f>
        <v>1</v>
      </c>
      <c r="F15" s="226">
        <f>'1'!F32</f>
        <v>1</v>
      </c>
      <c r="G15" s="226">
        <f>'1'!G32</f>
        <v>1</v>
      </c>
      <c r="H15" s="226">
        <f>'1'!H32</f>
        <v>1</v>
      </c>
      <c r="I15" s="226">
        <f>'1'!I32</f>
        <v>1</v>
      </c>
      <c r="J15" s="226">
        <f>'1'!J32</f>
        <v>1</v>
      </c>
      <c r="K15" s="226">
        <f>'1'!K32</f>
        <v>1</v>
      </c>
      <c r="L15" s="226">
        <f>'1'!L32</f>
        <v>1</v>
      </c>
      <c r="M15" s="226">
        <f>'1'!M32</f>
        <v>1</v>
      </c>
      <c r="N15" s="226">
        <f>'1'!N32</f>
        <v>1</v>
      </c>
      <c r="O15" s="226">
        <f>'1'!O32</f>
        <v>1</v>
      </c>
      <c r="P15" s="226">
        <f>'1'!P32</f>
        <v>1</v>
      </c>
      <c r="Q15" s="226">
        <f>'1'!Q32</f>
        <v>1</v>
      </c>
      <c r="R15" s="226">
        <f>'1'!R32</f>
        <v>1</v>
      </c>
      <c r="S15" s="226">
        <f>'1'!S32</f>
        <v>1</v>
      </c>
      <c r="T15" s="226">
        <f>'1'!T32</f>
        <v>1</v>
      </c>
      <c r="U15" s="226">
        <f>'1'!U32</f>
        <v>1</v>
      </c>
      <c r="V15" s="226">
        <f>'1'!V32</f>
        <v>1</v>
      </c>
      <c r="W15" s="226">
        <f>'1'!W32</f>
        <v>1</v>
      </c>
      <c r="X15" s="226">
        <f>1-D15</f>
        <v>9.9999999999999978E-2</v>
      </c>
      <c r="Y15" s="178"/>
    </row>
    <row r="16" spans="1:25" ht="14.25">
      <c r="A16" s="169"/>
      <c r="B16" s="129" t="s">
        <v>66</v>
      </c>
      <c r="C16" s="37" t="s">
        <v>195</v>
      </c>
      <c r="D16" s="227">
        <f>'1'!D12/100</f>
        <v>0</v>
      </c>
      <c r="E16" s="227">
        <f>(1+E18)*D16</f>
        <v>0</v>
      </c>
      <c r="F16" s="227">
        <f t="shared" ref="F16" si="2">(1+F18)*E16</f>
        <v>0</v>
      </c>
      <c r="G16" s="227">
        <f t="shared" ref="G16" si="3">(1+G18)*F16</f>
        <v>0</v>
      </c>
      <c r="H16" s="227">
        <f t="shared" ref="H16" si="4">(1+H18)*G16</f>
        <v>0</v>
      </c>
      <c r="I16" s="227">
        <f t="shared" ref="I16" si="5">(1+I18)*H16</f>
        <v>0</v>
      </c>
      <c r="J16" s="227">
        <f t="shared" ref="J16" si="6">(1+J18)*I16</f>
        <v>0</v>
      </c>
      <c r="K16" s="227">
        <f t="shared" ref="K16" si="7">(1+K18)*J16</f>
        <v>0</v>
      </c>
      <c r="L16" s="227">
        <f t="shared" ref="L16" si="8">(1+L18)*K16</f>
        <v>0</v>
      </c>
      <c r="M16" s="227">
        <f t="shared" ref="M16" si="9">(1+M18)*L16</f>
        <v>0</v>
      </c>
      <c r="N16" s="227">
        <f t="shared" ref="N16" si="10">(1+N18)*M16</f>
        <v>0</v>
      </c>
      <c r="O16" s="227">
        <f t="shared" ref="O16" si="11">(1+O18)*N16</f>
        <v>0</v>
      </c>
      <c r="P16" s="227">
        <f t="shared" ref="P16" si="12">(1+P18)*O16</f>
        <v>0</v>
      </c>
      <c r="Q16" s="227">
        <f t="shared" ref="Q16" si="13">(1+Q18)*P16</f>
        <v>0</v>
      </c>
      <c r="R16" s="227">
        <f t="shared" ref="R16" si="14">(1+R18)*Q16</f>
        <v>0</v>
      </c>
      <c r="S16" s="227">
        <f t="shared" ref="S16" si="15">(1+S18)*R16</f>
        <v>0</v>
      </c>
      <c r="T16" s="227">
        <f t="shared" ref="T16" si="16">(1+T18)*S16</f>
        <v>0</v>
      </c>
      <c r="U16" s="227">
        <f t="shared" ref="U16" si="17">(1+U18)*T16</f>
        <v>0</v>
      </c>
      <c r="V16" s="227">
        <f t="shared" ref="V16" si="18">(1+V18)*U16</f>
        <v>0</v>
      </c>
      <c r="W16" s="227">
        <f t="shared" ref="W16" si="19">(1+W18)*V16</f>
        <v>0</v>
      </c>
      <c r="X16" s="227">
        <f t="shared" ref="X16" si="20">(1+X18)*W16</f>
        <v>0</v>
      </c>
      <c r="Y16" s="179"/>
    </row>
    <row r="17" spans="2:26" ht="14.25">
      <c r="B17" s="123" t="s">
        <v>197</v>
      </c>
      <c r="C17" s="163"/>
      <c r="D17" s="180"/>
      <c r="E17" s="181"/>
      <c r="F17" s="181"/>
      <c r="G17" s="181"/>
      <c r="H17" s="181"/>
      <c r="I17" s="181"/>
      <c r="J17" s="181"/>
      <c r="K17" s="181"/>
      <c r="L17" s="181"/>
      <c r="M17" s="181"/>
      <c r="N17" s="181"/>
      <c r="O17" s="181"/>
      <c r="P17" s="181"/>
      <c r="Q17" s="181"/>
      <c r="R17" s="181"/>
      <c r="S17" s="181"/>
      <c r="T17" s="181"/>
      <c r="U17" s="181"/>
      <c r="V17" s="181"/>
      <c r="W17" s="181"/>
      <c r="X17" s="181"/>
      <c r="Y17" s="181"/>
    </row>
    <row r="18" spans="2:26" ht="14.25">
      <c r="B18" s="129" t="s">
        <v>112</v>
      </c>
      <c r="C18" s="150" t="s">
        <v>198</v>
      </c>
      <c r="D18" s="228">
        <f>'1'!D13</f>
        <v>0</v>
      </c>
      <c r="E18" s="228">
        <f>'1'!E13</f>
        <v>0</v>
      </c>
      <c r="F18" s="228">
        <f>'1'!F13</f>
        <v>0</v>
      </c>
      <c r="G18" s="228">
        <f>'1'!G13</f>
        <v>0</v>
      </c>
      <c r="H18" s="228">
        <f>'1'!H13</f>
        <v>0</v>
      </c>
      <c r="I18" s="228">
        <f>'1'!I13</f>
        <v>0</v>
      </c>
      <c r="J18" s="228">
        <f>'1'!J13</f>
        <v>0</v>
      </c>
      <c r="K18" s="228">
        <f>'1'!K13</f>
        <v>0</v>
      </c>
      <c r="L18" s="228">
        <f>'1'!L13</f>
        <v>0</v>
      </c>
      <c r="M18" s="228">
        <f>'1'!M13</f>
        <v>0</v>
      </c>
      <c r="N18" s="228">
        <f>'1'!N13</f>
        <v>0</v>
      </c>
      <c r="O18" s="228">
        <f>'1'!O13</f>
        <v>0</v>
      </c>
      <c r="P18" s="228">
        <f>'1'!P13</f>
        <v>0</v>
      </c>
      <c r="Q18" s="228">
        <f>'1'!Q13</f>
        <v>0</v>
      </c>
      <c r="R18" s="228">
        <f>'1'!R13</f>
        <v>0</v>
      </c>
      <c r="S18" s="228">
        <f>'1'!S13</f>
        <v>0</v>
      </c>
      <c r="T18" s="228">
        <f>'1'!T13</f>
        <v>0</v>
      </c>
      <c r="U18" s="228">
        <f>'1'!U13</f>
        <v>0</v>
      </c>
      <c r="V18" s="228">
        <f>'1'!V13</f>
        <v>0</v>
      </c>
      <c r="W18" s="228">
        <f>'1'!W13</f>
        <v>0</v>
      </c>
      <c r="X18" s="228">
        <f>'1'!X13</f>
        <v>0</v>
      </c>
      <c r="Y18" s="182"/>
    </row>
    <row r="19" spans="2:26">
      <c r="B19" s="152"/>
      <c r="C19" s="163"/>
      <c r="D19" s="133"/>
      <c r="E19" s="133"/>
      <c r="F19" s="133"/>
      <c r="G19" s="133"/>
      <c r="H19" s="133"/>
      <c r="I19" s="133"/>
      <c r="J19" s="133"/>
      <c r="K19" s="133"/>
      <c r="L19" s="133"/>
      <c r="M19" s="133"/>
      <c r="N19" s="133"/>
      <c r="O19" s="133"/>
      <c r="P19" s="133"/>
      <c r="Q19" s="133"/>
      <c r="R19" s="133"/>
      <c r="S19" s="133"/>
      <c r="T19" s="133"/>
      <c r="U19" s="133"/>
      <c r="V19" s="133"/>
      <c r="W19" s="133"/>
      <c r="X19" s="133"/>
      <c r="Y19" s="133"/>
      <c r="Z19" s="30"/>
    </row>
    <row r="20" spans="2:26"/>
    <row r="21" spans="2:26" hidden="1"/>
    <row r="22" spans="2:26" hidden="1"/>
    <row r="23" spans="2:26" hidden="1"/>
    <row r="24" spans="2:26" hidden="1"/>
    <row r="25" spans="2:26" hidden="1"/>
    <row r="26" spans="2:26" hidden="1"/>
    <row r="27" spans="2:26" hidden="1"/>
    <row r="28" spans="2:26" hidden="1"/>
    <row r="29" spans="2:26" hidden="1"/>
  </sheetData>
  <sheetProtection sheet="1" objects="1" scenarios="1"/>
  <conditionalFormatting sqref="A8 A11">
    <cfRule type="cellIs" dxfId="31" priority="3" operator="equal">
      <formula>"O"</formula>
    </cfRule>
    <cfRule type="cellIs" dxfId="30" priority="4" operator="equal">
      <formula>"P"</formula>
    </cfRule>
  </conditionalFormatting>
  <hyperlinks>
    <hyperlink ref="A5" location="'Sign off'!A1" display="Index"/>
  </hyperlinks>
  <printOptions horizontalCentered="1" headings="1"/>
  <pageMargins left="0" right="0" top="0" bottom="0.35433070866141736" header="0" footer="0"/>
  <pageSetup paperSize="8" scale="65" orientation="landscape" r:id="rId1"/>
  <headerFooter>
    <oddFooter>&amp;L&amp;Z&amp;F&amp;A&amp;C&amp;P&amp;R&amp;D</oddFooter>
  </headerFooter>
  <drawing r:id="rId2"/>
  <legacyDrawing r:id="rId3"/>
</worksheet>
</file>

<file path=xl/worksheets/sheet8.xml><?xml version="1.0" encoding="utf-8"?>
<worksheet xmlns="http://schemas.openxmlformats.org/spreadsheetml/2006/main" xmlns:r="http://schemas.openxmlformats.org/officeDocument/2006/relationships">
  <sheetPr codeName="Sheet11">
    <pageSetUpPr fitToPage="1"/>
  </sheetPr>
  <dimension ref="A1:Z29"/>
  <sheetViews>
    <sheetView zoomScale="90" zoomScaleNormal="90" workbookViewId="0">
      <selection activeCell="G8" sqref="G8"/>
    </sheetView>
  </sheetViews>
  <sheetFormatPr defaultColWidth="0" defaultRowHeight="12.75" zeroHeight="1"/>
  <cols>
    <col min="1" max="1" width="20.6640625" style="28" customWidth="1"/>
    <col min="2" max="2" width="26.83203125" style="28" bestFit="1" customWidth="1"/>
    <col min="3" max="3" width="12" style="28" customWidth="1"/>
    <col min="4" max="15" width="13.33203125" style="28" customWidth="1"/>
    <col min="16" max="16" width="13.33203125" style="115" customWidth="1"/>
    <col min="17" max="25" width="13.33203125" style="28" customWidth="1"/>
    <col min="26" max="26" width="12" style="28" customWidth="1"/>
    <col min="27" max="16384" width="12" style="28" hidden="1"/>
  </cols>
  <sheetData>
    <row r="1" spans="1:25" s="1" customFormat="1" ht="27.75" customHeight="1">
      <c r="C1" s="2" t="s">
        <v>185</v>
      </c>
    </row>
    <row r="2" spans="1:25" s="1" customFormat="1" ht="18" customHeight="1">
      <c r="C2" s="1" t="s">
        <v>169</v>
      </c>
      <c r="D2" s="3" t="str">
        <f>'Universal data'!$D$11</f>
        <v>Demo sands</v>
      </c>
    </row>
    <row r="3" spans="1:25" s="1" customFormat="1" ht="18" customHeight="1">
      <c r="C3" s="1" t="s">
        <v>170</v>
      </c>
      <c r="D3" s="3" t="str">
        <f>'Universal data'!$D$9</f>
        <v>[Offshore transmission operator 1]</v>
      </c>
      <c r="G3" s="5"/>
      <c r="H3" s="5"/>
      <c r="K3" s="5"/>
    </row>
    <row r="4" spans="1:25" s="1" customFormat="1" ht="18" customHeight="1">
      <c r="C4" s="1" t="s">
        <v>171</v>
      </c>
      <c r="D4" s="3" t="str">
        <f>'Universal data'!$D$12-1&amp;"-"&amp;'Universal data'!$D$12-2000</f>
        <v>2012-13</v>
      </c>
      <c r="G4" s="5"/>
      <c r="H4" s="5"/>
      <c r="K4" s="5"/>
    </row>
    <row r="5" spans="1:25">
      <c r="A5" s="26" t="s">
        <v>251</v>
      </c>
    </row>
    <row r="6" spans="1:25" ht="18">
      <c r="B6" s="191" t="s">
        <v>236</v>
      </c>
      <c r="O6" s="115"/>
      <c r="P6" s="28"/>
    </row>
    <row r="7" spans="1:25">
      <c r="A7" s="28" t="s">
        <v>266</v>
      </c>
      <c r="O7" s="115"/>
      <c r="P7" s="28"/>
    </row>
    <row r="8" spans="1:25" s="90" customFormat="1">
      <c r="A8" s="379" t="s">
        <v>267</v>
      </c>
      <c r="C8" s="36"/>
      <c r="D8" s="91">
        <f>'1'!D8</f>
        <v>2011</v>
      </c>
      <c r="E8" s="91">
        <f>D8+1</f>
        <v>2012</v>
      </c>
      <c r="F8" s="91">
        <f t="shared" ref="F8:Y8" si="0">E8+1</f>
        <v>2013</v>
      </c>
      <c r="G8" s="91">
        <f t="shared" si="0"/>
        <v>2014</v>
      </c>
      <c r="H8" s="91">
        <f t="shared" si="0"/>
        <v>2015</v>
      </c>
      <c r="I8" s="91">
        <f t="shared" si="0"/>
        <v>2016</v>
      </c>
      <c r="J8" s="91">
        <f t="shared" si="0"/>
        <v>2017</v>
      </c>
      <c r="K8" s="91">
        <f t="shared" si="0"/>
        <v>2018</v>
      </c>
      <c r="L8" s="91">
        <f t="shared" si="0"/>
        <v>2019</v>
      </c>
      <c r="M8" s="91">
        <f t="shared" si="0"/>
        <v>2020</v>
      </c>
      <c r="N8" s="91">
        <f t="shared" si="0"/>
        <v>2021</v>
      </c>
      <c r="O8" s="91">
        <f t="shared" si="0"/>
        <v>2022</v>
      </c>
      <c r="P8" s="91">
        <f t="shared" si="0"/>
        <v>2023</v>
      </c>
      <c r="Q8" s="91">
        <f t="shared" si="0"/>
        <v>2024</v>
      </c>
      <c r="R8" s="91">
        <f t="shared" si="0"/>
        <v>2025</v>
      </c>
      <c r="S8" s="91">
        <f t="shared" si="0"/>
        <v>2026</v>
      </c>
      <c r="T8" s="91">
        <f t="shared" si="0"/>
        <v>2027</v>
      </c>
      <c r="U8" s="91">
        <f t="shared" si="0"/>
        <v>2028</v>
      </c>
      <c r="V8" s="91">
        <f t="shared" si="0"/>
        <v>2029</v>
      </c>
      <c r="W8" s="91">
        <f t="shared" si="0"/>
        <v>2030</v>
      </c>
      <c r="X8" s="91">
        <f t="shared" si="0"/>
        <v>2031</v>
      </c>
      <c r="Y8" s="91">
        <f t="shared" si="0"/>
        <v>2032</v>
      </c>
    </row>
    <row r="9" spans="1:25">
      <c r="A9" s="32"/>
      <c r="B9" s="164"/>
      <c r="C9" s="164"/>
      <c r="D9" s="164"/>
      <c r="E9" s="165"/>
      <c r="F9" s="164"/>
      <c r="G9" s="164"/>
      <c r="H9" s="164"/>
      <c r="I9" s="164"/>
      <c r="J9" s="164"/>
      <c r="K9" s="164"/>
      <c r="L9" s="164"/>
      <c r="M9" s="164"/>
      <c r="N9" s="164"/>
      <c r="O9" s="164"/>
      <c r="P9" s="164"/>
      <c r="Q9" s="164"/>
      <c r="R9" s="164"/>
      <c r="S9" s="164"/>
      <c r="T9" s="164"/>
      <c r="U9" s="164"/>
      <c r="V9" s="164"/>
      <c r="W9" s="164"/>
      <c r="X9" s="164"/>
      <c r="Y9" s="164"/>
    </row>
    <row r="10" spans="1:25" ht="38.25">
      <c r="A10" s="32" t="s">
        <v>268</v>
      </c>
      <c r="B10" s="156" t="s">
        <v>73</v>
      </c>
      <c r="C10" s="135" t="s">
        <v>230</v>
      </c>
      <c r="D10" s="221">
        <f>SUM(D12:D19)</f>
        <v>0</v>
      </c>
      <c r="E10" s="221">
        <f t="shared" ref="E10:Y10" si="1">SUM(E12:E19)</f>
        <v>0</v>
      </c>
      <c r="F10" s="221">
        <f t="shared" si="1"/>
        <v>0</v>
      </c>
      <c r="G10" s="221">
        <f t="shared" si="1"/>
        <v>0</v>
      </c>
      <c r="H10" s="221">
        <f t="shared" si="1"/>
        <v>0</v>
      </c>
      <c r="I10" s="221">
        <f t="shared" si="1"/>
        <v>0</v>
      </c>
      <c r="J10" s="221">
        <f t="shared" si="1"/>
        <v>0</v>
      </c>
      <c r="K10" s="221">
        <f t="shared" si="1"/>
        <v>0</v>
      </c>
      <c r="L10" s="221">
        <f t="shared" si="1"/>
        <v>0</v>
      </c>
      <c r="M10" s="221">
        <f t="shared" si="1"/>
        <v>0</v>
      </c>
      <c r="N10" s="221">
        <f t="shared" si="1"/>
        <v>0</v>
      </c>
      <c r="O10" s="221">
        <f t="shared" si="1"/>
        <v>0</v>
      </c>
      <c r="P10" s="221">
        <f t="shared" si="1"/>
        <v>0</v>
      </c>
      <c r="Q10" s="221">
        <f t="shared" si="1"/>
        <v>0</v>
      </c>
      <c r="R10" s="221">
        <f t="shared" si="1"/>
        <v>0</v>
      </c>
      <c r="S10" s="221">
        <f t="shared" si="1"/>
        <v>0</v>
      </c>
      <c r="T10" s="221">
        <f t="shared" si="1"/>
        <v>0</v>
      </c>
      <c r="U10" s="221">
        <f t="shared" si="1"/>
        <v>0</v>
      </c>
      <c r="V10" s="221">
        <f t="shared" si="1"/>
        <v>0</v>
      </c>
      <c r="W10" s="221">
        <f t="shared" si="1"/>
        <v>0</v>
      </c>
      <c r="X10" s="221">
        <f t="shared" si="1"/>
        <v>0</v>
      </c>
      <c r="Y10" s="221">
        <f t="shared" si="1"/>
        <v>0</v>
      </c>
    </row>
    <row r="11" spans="1:25" s="169" customFormat="1" ht="14.25">
      <c r="A11" s="379" t="s">
        <v>269</v>
      </c>
      <c r="B11" s="123" t="s">
        <v>227</v>
      </c>
      <c r="C11" s="166"/>
      <c r="D11" s="167"/>
      <c r="E11" s="167"/>
      <c r="F11" s="167"/>
      <c r="G11" s="167"/>
      <c r="H11" s="167"/>
      <c r="I11" s="167"/>
      <c r="J11" s="167"/>
      <c r="K11" s="167"/>
      <c r="L11" s="167"/>
      <c r="M11" s="167"/>
      <c r="N11" s="167"/>
      <c r="O11" s="167"/>
      <c r="P11" s="167"/>
      <c r="Q11" s="167"/>
      <c r="R11" s="167"/>
      <c r="S11" s="167"/>
      <c r="T11" s="167"/>
      <c r="U11" s="167"/>
      <c r="V11" s="167"/>
      <c r="W11" s="167"/>
      <c r="X11" s="168"/>
      <c r="Y11" s="168"/>
    </row>
    <row r="12" spans="1:25" ht="25.5">
      <c r="A12" s="414"/>
      <c r="B12" s="170" t="s">
        <v>69</v>
      </c>
      <c r="C12" s="171" t="s">
        <v>201</v>
      </c>
      <c r="D12" s="215">
        <f>'1'!D15</f>
        <v>0</v>
      </c>
      <c r="E12" s="215">
        <f>'1'!E15</f>
        <v>0</v>
      </c>
      <c r="F12" s="215">
        <f>'1'!F15</f>
        <v>0</v>
      </c>
      <c r="G12" s="215">
        <f>'1'!G15</f>
        <v>0</v>
      </c>
      <c r="H12" s="215">
        <f>'1'!H15</f>
        <v>0</v>
      </c>
      <c r="I12" s="215">
        <f>'1'!I15</f>
        <v>0</v>
      </c>
      <c r="J12" s="215">
        <f>'1'!J15</f>
        <v>0</v>
      </c>
      <c r="K12" s="215">
        <f>'1'!K15</f>
        <v>0</v>
      </c>
      <c r="L12" s="215">
        <f>'1'!L15</f>
        <v>0</v>
      </c>
      <c r="M12" s="215">
        <f>'1'!M15</f>
        <v>0</v>
      </c>
      <c r="N12" s="215">
        <f>'1'!N15</f>
        <v>0</v>
      </c>
      <c r="O12" s="215">
        <f>'1'!O15</f>
        <v>0</v>
      </c>
      <c r="P12" s="215">
        <f>'1'!P15</f>
        <v>0</v>
      </c>
      <c r="Q12" s="215">
        <f>'1'!Q15</f>
        <v>0</v>
      </c>
      <c r="R12" s="215">
        <f>'1'!R15</f>
        <v>0</v>
      </c>
      <c r="S12" s="215">
        <f>'1'!S15</f>
        <v>0</v>
      </c>
      <c r="T12" s="215">
        <f>'1'!T15</f>
        <v>0</v>
      </c>
      <c r="U12" s="215">
        <f>'1'!U15</f>
        <v>0</v>
      </c>
      <c r="V12" s="215">
        <f>'1'!V15</f>
        <v>0</v>
      </c>
      <c r="W12" s="215">
        <f>'1'!W15</f>
        <v>0</v>
      </c>
      <c r="X12" s="215">
        <f>'1'!X15</f>
        <v>0</v>
      </c>
      <c r="Y12" s="126"/>
    </row>
    <row r="13" spans="1:25" ht="38.25">
      <c r="A13" s="415" t="b">
        <v>0</v>
      </c>
      <c r="B13" s="139" t="s">
        <v>102</v>
      </c>
      <c r="C13" s="125" t="s">
        <v>202</v>
      </c>
      <c r="D13" s="217">
        <f>'1'!D16</f>
        <v>0</v>
      </c>
      <c r="E13" s="217">
        <f>'1'!E16</f>
        <v>0</v>
      </c>
      <c r="F13" s="217">
        <f>'1'!F16</f>
        <v>0</v>
      </c>
      <c r="G13" s="217">
        <f>'1'!G16</f>
        <v>0</v>
      </c>
      <c r="H13" s="217">
        <f>'1'!H16</f>
        <v>0</v>
      </c>
      <c r="I13" s="217">
        <f>'1'!I16</f>
        <v>0</v>
      </c>
      <c r="J13" s="217">
        <f>'1'!J16</f>
        <v>0</v>
      </c>
      <c r="K13" s="217">
        <f>'1'!K16</f>
        <v>0</v>
      </c>
      <c r="L13" s="217">
        <f>'1'!L16</f>
        <v>0</v>
      </c>
      <c r="M13" s="217">
        <f>'1'!M16</f>
        <v>0</v>
      </c>
      <c r="N13" s="217">
        <f>'1'!N16</f>
        <v>0</v>
      </c>
      <c r="O13" s="217">
        <f>'1'!O16</f>
        <v>0</v>
      </c>
      <c r="P13" s="217">
        <f>'1'!P16</f>
        <v>0</v>
      </c>
      <c r="Q13" s="217">
        <f>'1'!Q16</f>
        <v>0</v>
      </c>
      <c r="R13" s="217">
        <f>'1'!R16</f>
        <v>0</v>
      </c>
      <c r="S13" s="217">
        <f>'1'!S16</f>
        <v>0</v>
      </c>
      <c r="T13" s="217">
        <f>'1'!T16</f>
        <v>0</v>
      </c>
      <c r="U13" s="217">
        <f>'1'!U16</f>
        <v>0</v>
      </c>
      <c r="V13" s="217">
        <f>'1'!V16</f>
        <v>0</v>
      </c>
      <c r="W13" s="217">
        <f>'1'!W16</f>
        <v>0</v>
      </c>
      <c r="X13" s="217">
        <f>'1'!X16</f>
        <v>0</v>
      </c>
      <c r="Y13" s="127"/>
    </row>
    <row r="14" spans="1:25" ht="25.5">
      <c r="B14" s="124" t="s">
        <v>92</v>
      </c>
      <c r="C14" s="125" t="s">
        <v>203</v>
      </c>
      <c r="D14" s="217">
        <f>'1'!D17</f>
        <v>0</v>
      </c>
      <c r="E14" s="217">
        <f>'1'!E17</f>
        <v>0</v>
      </c>
      <c r="F14" s="217">
        <f>'1'!F17</f>
        <v>0</v>
      </c>
      <c r="G14" s="217">
        <f>'1'!G17</f>
        <v>0</v>
      </c>
      <c r="H14" s="217">
        <f>'1'!H17</f>
        <v>0</v>
      </c>
      <c r="I14" s="217">
        <f>'1'!I17</f>
        <v>0</v>
      </c>
      <c r="J14" s="217">
        <f>'1'!J17</f>
        <v>0</v>
      </c>
      <c r="K14" s="217">
        <f>'1'!K17</f>
        <v>0</v>
      </c>
      <c r="L14" s="217">
        <f>'1'!L17</f>
        <v>0</v>
      </c>
      <c r="M14" s="217">
        <f>'1'!M17</f>
        <v>0</v>
      </c>
      <c r="N14" s="217">
        <f>'1'!N17</f>
        <v>0</v>
      </c>
      <c r="O14" s="217">
        <f>'1'!O17</f>
        <v>0</v>
      </c>
      <c r="P14" s="217">
        <f>'1'!P17</f>
        <v>0</v>
      </c>
      <c r="Q14" s="217">
        <f>'1'!Q17</f>
        <v>0</v>
      </c>
      <c r="R14" s="217">
        <f>'1'!R17</f>
        <v>0</v>
      </c>
      <c r="S14" s="217">
        <f>'1'!S17</f>
        <v>0</v>
      </c>
      <c r="T14" s="217">
        <f>'1'!T17</f>
        <v>0</v>
      </c>
      <c r="U14" s="217">
        <f>'1'!U17</f>
        <v>0</v>
      </c>
      <c r="V14" s="217">
        <f>'1'!V17</f>
        <v>0</v>
      </c>
      <c r="W14" s="217">
        <f>'1'!W17</f>
        <v>0</v>
      </c>
      <c r="X14" s="217">
        <f>'1'!X17</f>
        <v>0</v>
      </c>
      <c r="Y14" s="127"/>
    </row>
    <row r="15" spans="1:25" ht="25.5">
      <c r="B15" s="124" t="s">
        <v>70</v>
      </c>
      <c r="C15" s="125" t="s">
        <v>205</v>
      </c>
      <c r="D15" s="217">
        <f>'1'!D18</f>
        <v>0</v>
      </c>
      <c r="E15" s="217">
        <f>'1'!E18</f>
        <v>0</v>
      </c>
      <c r="F15" s="217">
        <f>'1'!F18</f>
        <v>0</v>
      </c>
      <c r="G15" s="217">
        <f>'1'!G18</f>
        <v>0</v>
      </c>
      <c r="H15" s="217">
        <f>'1'!H18</f>
        <v>0</v>
      </c>
      <c r="I15" s="217">
        <f>'1'!I18</f>
        <v>0</v>
      </c>
      <c r="J15" s="217">
        <f>'1'!J18</f>
        <v>0</v>
      </c>
      <c r="K15" s="217">
        <f>'1'!K18</f>
        <v>0</v>
      </c>
      <c r="L15" s="217">
        <f>'1'!L18</f>
        <v>0</v>
      </c>
      <c r="M15" s="217">
        <f>'1'!M18</f>
        <v>0</v>
      </c>
      <c r="N15" s="217">
        <f>'1'!N18</f>
        <v>0</v>
      </c>
      <c r="O15" s="217">
        <f>'1'!O18</f>
        <v>0</v>
      </c>
      <c r="P15" s="217">
        <f>'1'!P18</f>
        <v>0</v>
      </c>
      <c r="Q15" s="217">
        <f>'1'!Q18</f>
        <v>0</v>
      </c>
      <c r="R15" s="217">
        <f>'1'!R18</f>
        <v>0</v>
      </c>
      <c r="S15" s="217">
        <f>'1'!S18</f>
        <v>0</v>
      </c>
      <c r="T15" s="217">
        <f>'1'!T18</f>
        <v>0</v>
      </c>
      <c r="U15" s="217">
        <f>'1'!U18</f>
        <v>0</v>
      </c>
      <c r="V15" s="217">
        <f>'1'!V18</f>
        <v>0</v>
      </c>
      <c r="W15" s="217">
        <f>'1'!W18</f>
        <v>0</v>
      </c>
      <c r="X15" s="217">
        <f>'1'!X18</f>
        <v>0</v>
      </c>
      <c r="Y15" s="127"/>
    </row>
    <row r="16" spans="1:25" ht="25.5">
      <c r="A16" s="169"/>
      <c r="B16" s="124" t="s">
        <v>93</v>
      </c>
      <c r="C16" s="125" t="s">
        <v>207</v>
      </c>
      <c r="D16" s="217">
        <f>'1'!D19</f>
        <v>0</v>
      </c>
      <c r="E16" s="217">
        <f>'1'!E19</f>
        <v>0</v>
      </c>
      <c r="F16" s="217">
        <f>'1'!F19</f>
        <v>0</v>
      </c>
      <c r="G16" s="217">
        <f>'1'!G19</f>
        <v>0</v>
      </c>
      <c r="H16" s="217">
        <f>'1'!H19</f>
        <v>0</v>
      </c>
      <c r="I16" s="217">
        <f>'1'!I19</f>
        <v>0</v>
      </c>
      <c r="J16" s="217">
        <f>'1'!J19</f>
        <v>0</v>
      </c>
      <c r="K16" s="217">
        <f>'1'!K19</f>
        <v>0</v>
      </c>
      <c r="L16" s="217">
        <f>'1'!L19</f>
        <v>0</v>
      </c>
      <c r="M16" s="217">
        <f>'1'!M19</f>
        <v>0</v>
      </c>
      <c r="N16" s="217">
        <f>'1'!N19</f>
        <v>0</v>
      </c>
      <c r="O16" s="217">
        <f>'1'!O19</f>
        <v>0</v>
      </c>
      <c r="P16" s="217">
        <f>'1'!P19</f>
        <v>0</v>
      </c>
      <c r="Q16" s="217">
        <f>'1'!Q19</f>
        <v>0</v>
      </c>
      <c r="R16" s="217">
        <f>'1'!R19</f>
        <v>0</v>
      </c>
      <c r="S16" s="217">
        <f>'1'!S19</f>
        <v>0</v>
      </c>
      <c r="T16" s="217">
        <f>'1'!T19</f>
        <v>0</v>
      </c>
      <c r="U16" s="217">
        <f>'1'!U19</f>
        <v>0</v>
      </c>
      <c r="V16" s="217">
        <f>'1'!V19</f>
        <v>0</v>
      </c>
      <c r="W16" s="217">
        <f>'1'!W19</f>
        <v>0</v>
      </c>
      <c r="X16" s="217">
        <f>'1'!X19</f>
        <v>0</v>
      </c>
      <c r="Y16" s="127"/>
    </row>
    <row r="17" spans="2:26" ht="38.25">
      <c r="B17" s="124" t="s">
        <v>72</v>
      </c>
      <c r="C17" s="125" t="s">
        <v>208</v>
      </c>
      <c r="D17" s="217">
        <f>'1'!D20</f>
        <v>0</v>
      </c>
      <c r="E17" s="217">
        <f>'1'!E20</f>
        <v>0</v>
      </c>
      <c r="F17" s="217">
        <f>'1'!F20</f>
        <v>0</v>
      </c>
      <c r="G17" s="217">
        <f>'1'!G20</f>
        <v>0</v>
      </c>
      <c r="H17" s="217">
        <f>'1'!H20</f>
        <v>0</v>
      </c>
      <c r="I17" s="217">
        <f>'1'!I20</f>
        <v>0</v>
      </c>
      <c r="J17" s="217">
        <f>'1'!J20</f>
        <v>0</v>
      </c>
      <c r="K17" s="217">
        <f>'1'!K20</f>
        <v>0</v>
      </c>
      <c r="L17" s="217">
        <f>'1'!L20</f>
        <v>0</v>
      </c>
      <c r="M17" s="217">
        <f>'1'!M20</f>
        <v>0</v>
      </c>
      <c r="N17" s="217">
        <f>'1'!N20</f>
        <v>0</v>
      </c>
      <c r="O17" s="217">
        <f>'1'!O20</f>
        <v>0</v>
      </c>
      <c r="P17" s="217">
        <f>'1'!P20</f>
        <v>0</v>
      </c>
      <c r="Q17" s="217">
        <f>'1'!Q20</f>
        <v>0</v>
      </c>
      <c r="R17" s="217">
        <f>'1'!R20</f>
        <v>0</v>
      </c>
      <c r="S17" s="217">
        <f>'1'!S20</f>
        <v>0</v>
      </c>
      <c r="T17" s="217">
        <f>'1'!T20</f>
        <v>0</v>
      </c>
      <c r="U17" s="217">
        <f>'1'!U20</f>
        <v>0</v>
      </c>
      <c r="V17" s="217">
        <f>'1'!V20</f>
        <v>0</v>
      </c>
      <c r="W17" s="217">
        <f>'1'!W20</f>
        <v>0</v>
      </c>
      <c r="X17" s="217">
        <f>'1'!X20</f>
        <v>0</v>
      </c>
      <c r="Y17" s="127"/>
    </row>
    <row r="18" spans="2:26" ht="25.5">
      <c r="B18" s="124" t="s">
        <v>94</v>
      </c>
      <c r="C18" s="125" t="s">
        <v>210</v>
      </c>
      <c r="D18" s="217">
        <f>'1'!D21</f>
        <v>0</v>
      </c>
      <c r="E18" s="217">
        <f>'1'!E21</f>
        <v>0</v>
      </c>
      <c r="F18" s="217">
        <f>'1'!F21</f>
        <v>0</v>
      </c>
      <c r="G18" s="217">
        <f>'1'!G21</f>
        <v>0</v>
      </c>
      <c r="H18" s="217">
        <f>'1'!H21</f>
        <v>0</v>
      </c>
      <c r="I18" s="217">
        <f>'1'!I21</f>
        <v>0</v>
      </c>
      <c r="J18" s="217">
        <f>'1'!J21</f>
        <v>0</v>
      </c>
      <c r="K18" s="217">
        <f>'1'!K21</f>
        <v>0</v>
      </c>
      <c r="L18" s="217">
        <f>'1'!L21</f>
        <v>0</v>
      </c>
      <c r="M18" s="217">
        <f>'1'!M21</f>
        <v>0</v>
      </c>
      <c r="N18" s="217">
        <f>'1'!N21</f>
        <v>0</v>
      </c>
      <c r="O18" s="217">
        <f>'1'!O21</f>
        <v>0</v>
      </c>
      <c r="P18" s="217">
        <f>'1'!P21</f>
        <v>0</v>
      </c>
      <c r="Q18" s="217">
        <f>'1'!Q21</f>
        <v>0</v>
      </c>
      <c r="R18" s="217">
        <f>'1'!R21</f>
        <v>0</v>
      </c>
      <c r="S18" s="217">
        <f>'1'!S21</f>
        <v>0</v>
      </c>
      <c r="T18" s="217">
        <f>'1'!T21</f>
        <v>0</v>
      </c>
      <c r="U18" s="217">
        <f>'1'!U21</f>
        <v>0</v>
      </c>
      <c r="V18" s="217">
        <f>'1'!V21</f>
        <v>0</v>
      </c>
      <c r="W18" s="217">
        <f>'1'!W21</f>
        <v>0</v>
      </c>
      <c r="X18" s="217">
        <f>'1'!X21</f>
        <v>0</v>
      </c>
      <c r="Y18" s="127"/>
    </row>
    <row r="19" spans="2:26" ht="38.25">
      <c r="B19" s="129" t="s">
        <v>71</v>
      </c>
      <c r="C19" s="37" t="s">
        <v>212</v>
      </c>
      <c r="D19" s="229">
        <f>'1'!D22</f>
        <v>0</v>
      </c>
      <c r="E19" s="229">
        <f>'1'!E22</f>
        <v>0</v>
      </c>
      <c r="F19" s="229">
        <f>'1'!F22</f>
        <v>0</v>
      </c>
      <c r="G19" s="229">
        <f>'1'!G22</f>
        <v>0</v>
      </c>
      <c r="H19" s="229">
        <f>'1'!H22</f>
        <v>0</v>
      </c>
      <c r="I19" s="229">
        <f>'1'!I22</f>
        <v>0</v>
      </c>
      <c r="J19" s="229">
        <f>'1'!J22</f>
        <v>0</v>
      </c>
      <c r="K19" s="229">
        <f>'1'!K22</f>
        <v>0</v>
      </c>
      <c r="L19" s="229">
        <f>'1'!L22</f>
        <v>0</v>
      </c>
      <c r="M19" s="229">
        <f>'1'!M22</f>
        <v>0</v>
      </c>
      <c r="N19" s="229">
        <f>'1'!N22</f>
        <v>0</v>
      </c>
      <c r="O19" s="229">
        <f>'1'!O22</f>
        <v>0</v>
      </c>
      <c r="P19" s="229">
        <f>'1'!P22</f>
        <v>0</v>
      </c>
      <c r="Q19" s="229">
        <f>'1'!Q22</f>
        <v>0</v>
      </c>
      <c r="R19" s="229">
        <f>'1'!R22</f>
        <v>0</v>
      </c>
      <c r="S19" s="229">
        <f>'1'!S22</f>
        <v>0</v>
      </c>
      <c r="T19" s="229">
        <f>'1'!T22</f>
        <v>0</v>
      </c>
      <c r="U19" s="229">
        <f>'1'!U22</f>
        <v>0</v>
      </c>
      <c r="V19" s="229">
        <f>'1'!V22</f>
        <v>0</v>
      </c>
      <c r="W19" s="229">
        <f>'1'!W22</f>
        <v>0</v>
      </c>
      <c r="X19" s="229">
        <f>'1'!X22</f>
        <v>0</v>
      </c>
      <c r="Y19" s="172"/>
    </row>
    <row r="20" spans="2:26">
      <c r="B20" s="133"/>
      <c r="C20" s="133"/>
      <c r="D20" s="133"/>
      <c r="E20" s="133"/>
      <c r="F20" s="133"/>
      <c r="G20" s="133"/>
      <c r="H20" s="133"/>
      <c r="I20" s="133"/>
      <c r="J20" s="133"/>
      <c r="K20" s="133"/>
      <c r="L20" s="133"/>
      <c r="M20" s="133"/>
      <c r="N20" s="133"/>
      <c r="O20" s="133"/>
      <c r="P20" s="173"/>
      <c r="Q20" s="133"/>
      <c r="R20" s="133"/>
      <c r="S20" s="133"/>
      <c r="T20" s="133"/>
      <c r="U20" s="133"/>
      <c r="V20" s="133"/>
      <c r="W20" s="133"/>
      <c r="X20" s="133"/>
      <c r="Y20" s="133"/>
    </row>
    <row r="21" spans="2:26"/>
    <row r="22" spans="2:26" hidden="1">
      <c r="B22" s="174"/>
      <c r="C22" s="36"/>
      <c r="P22" s="28"/>
      <c r="Z22" s="30"/>
    </row>
    <row r="23" spans="2:26" hidden="1"/>
    <row r="24" spans="2:26" hidden="1"/>
    <row r="25" spans="2:26" hidden="1"/>
    <row r="26" spans="2:26" hidden="1"/>
    <row r="27" spans="2:26" hidden="1"/>
    <row r="28" spans="2:26" hidden="1"/>
    <row r="29" spans="2:26" hidden="1"/>
  </sheetData>
  <sheetProtection sheet="1" objects="1" scenarios="1"/>
  <conditionalFormatting sqref="A8 A11">
    <cfRule type="cellIs" dxfId="29" priority="3" operator="equal">
      <formula>"O"</formula>
    </cfRule>
    <cfRule type="cellIs" dxfId="28" priority="4" operator="equal">
      <formula>"P"</formula>
    </cfRule>
  </conditionalFormatting>
  <hyperlinks>
    <hyperlink ref="A5" location="'Sign off'!A1" display="Index"/>
  </hyperlinks>
  <printOptions horizontalCentered="1" headings="1"/>
  <pageMargins left="0" right="0" top="0" bottom="0.35433070866141736" header="0" footer="0"/>
  <pageSetup paperSize="8" scale="65" orientation="landscape" r:id="rId1"/>
  <headerFooter>
    <oddFooter>&amp;L&amp;Z&amp;F&amp;A&amp;C&amp;P&amp;R&amp;D</oddFooter>
  </headerFooter>
  <drawing r:id="rId2"/>
  <legacyDrawing r:id="rId3"/>
</worksheet>
</file>

<file path=xl/worksheets/sheet9.xml><?xml version="1.0" encoding="utf-8"?>
<worksheet xmlns="http://schemas.openxmlformats.org/spreadsheetml/2006/main" xmlns:r="http://schemas.openxmlformats.org/officeDocument/2006/relationships">
  <sheetPr codeName="Sheet12">
    <pageSetUpPr fitToPage="1"/>
  </sheetPr>
  <dimension ref="A1:Z49"/>
  <sheetViews>
    <sheetView zoomScale="90" zoomScaleNormal="90" workbookViewId="0">
      <selection activeCell="G8" sqref="G8"/>
    </sheetView>
  </sheetViews>
  <sheetFormatPr defaultColWidth="0" defaultRowHeight="12.75" zeroHeight="1"/>
  <cols>
    <col min="1" max="1" width="20.6640625" style="28" customWidth="1"/>
    <col min="2" max="2" width="37.33203125" style="28" customWidth="1"/>
    <col min="3" max="3" width="12" style="28" customWidth="1"/>
    <col min="4" max="15" width="13.33203125" style="28" customWidth="1"/>
    <col min="16" max="16" width="13.33203125" style="115" customWidth="1"/>
    <col min="17" max="25" width="13.33203125" style="28" customWidth="1"/>
    <col min="26" max="26" width="12" style="28" customWidth="1"/>
    <col min="27" max="16384" width="12" style="28" hidden="1"/>
  </cols>
  <sheetData>
    <row r="1" spans="1:25" s="1" customFormat="1" ht="27.75" customHeight="1">
      <c r="C1" s="2" t="s">
        <v>185</v>
      </c>
    </row>
    <row r="2" spans="1:25" s="1" customFormat="1" ht="18" customHeight="1">
      <c r="C2" s="1" t="s">
        <v>169</v>
      </c>
      <c r="D2" s="3" t="str">
        <f>'Universal data'!$D$11</f>
        <v>Demo sands</v>
      </c>
    </row>
    <row r="3" spans="1:25" s="1" customFormat="1" ht="18" customHeight="1">
      <c r="C3" s="1" t="s">
        <v>170</v>
      </c>
      <c r="D3" s="3" t="str">
        <f>'Universal data'!$D$9</f>
        <v>[Offshore transmission operator 1]</v>
      </c>
      <c r="G3" s="5"/>
      <c r="H3" s="5"/>
      <c r="K3" s="5"/>
    </row>
    <row r="4" spans="1:25" s="1" customFormat="1" ht="18" customHeight="1">
      <c r="C4" s="1" t="s">
        <v>171</v>
      </c>
      <c r="D4" s="3" t="str">
        <f>'Universal data'!$D$12-1&amp;"-"&amp;'Universal data'!$D$12-2000</f>
        <v>2012-13</v>
      </c>
      <c r="G4" s="5"/>
      <c r="H4" s="5"/>
      <c r="K4" s="5"/>
    </row>
    <row r="5" spans="1:25">
      <c r="A5" s="26" t="s">
        <v>251</v>
      </c>
    </row>
    <row r="6" spans="1:25" ht="18">
      <c r="B6" s="191" t="s">
        <v>237</v>
      </c>
      <c r="O6" s="115"/>
      <c r="P6" s="28"/>
    </row>
    <row r="7" spans="1:25" ht="14.25">
      <c r="A7" s="28" t="s">
        <v>266</v>
      </c>
      <c r="C7" s="192"/>
      <c r="O7" s="115"/>
      <c r="P7" s="28"/>
    </row>
    <row r="8" spans="1:25" s="90" customFormat="1">
      <c r="A8" s="379" t="s">
        <v>267</v>
      </c>
      <c r="C8" s="36"/>
      <c r="D8" s="91">
        <f>'1'!D8</f>
        <v>2011</v>
      </c>
      <c r="E8" s="91">
        <f>D8+1</f>
        <v>2012</v>
      </c>
      <c r="F8" s="91">
        <f t="shared" ref="F8:Y8" si="0">E8+1</f>
        <v>2013</v>
      </c>
      <c r="G8" s="91">
        <f t="shared" si="0"/>
        <v>2014</v>
      </c>
      <c r="H8" s="91">
        <f t="shared" si="0"/>
        <v>2015</v>
      </c>
      <c r="I8" s="91">
        <f t="shared" si="0"/>
        <v>2016</v>
      </c>
      <c r="J8" s="91">
        <f t="shared" si="0"/>
        <v>2017</v>
      </c>
      <c r="K8" s="91">
        <f t="shared" si="0"/>
        <v>2018</v>
      </c>
      <c r="L8" s="91">
        <f t="shared" si="0"/>
        <v>2019</v>
      </c>
      <c r="M8" s="91">
        <f t="shared" si="0"/>
        <v>2020</v>
      </c>
      <c r="N8" s="91">
        <f t="shared" si="0"/>
        <v>2021</v>
      </c>
      <c r="O8" s="91">
        <f t="shared" si="0"/>
        <v>2022</v>
      </c>
      <c r="P8" s="91">
        <f t="shared" si="0"/>
        <v>2023</v>
      </c>
      <c r="Q8" s="91">
        <f t="shared" si="0"/>
        <v>2024</v>
      </c>
      <c r="R8" s="91">
        <f t="shared" si="0"/>
        <v>2025</v>
      </c>
      <c r="S8" s="91">
        <f t="shared" si="0"/>
        <v>2026</v>
      </c>
      <c r="T8" s="91">
        <f t="shared" si="0"/>
        <v>2027</v>
      </c>
      <c r="U8" s="91">
        <f t="shared" si="0"/>
        <v>2028</v>
      </c>
      <c r="V8" s="91">
        <f t="shared" si="0"/>
        <v>2029</v>
      </c>
      <c r="W8" s="91">
        <f t="shared" si="0"/>
        <v>2030</v>
      </c>
      <c r="X8" s="91">
        <f t="shared" si="0"/>
        <v>2031</v>
      </c>
      <c r="Y8" s="91">
        <f t="shared" si="0"/>
        <v>2032</v>
      </c>
    </row>
    <row r="9" spans="1:25" s="90" customFormat="1">
      <c r="A9" s="32"/>
      <c r="C9" s="36"/>
      <c r="D9" s="91"/>
      <c r="E9" s="91"/>
      <c r="F9" s="91"/>
      <c r="G9" s="91"/>
      <c r="H9" s="91"/>
      <c r="I9" s="91"/>
      <c r="J9" s="91"/>
      <c r="K9" s="91"/>
      <c r="L9" s="91"/>
      <c r="M9" s="91"/>
      <c r="N9" s="91"/>
      <c r="O9" s="91"/>
      <c r="P9" s="91"/>
      <c r="Q9" s="91"/>
      <c r="R9" s="91"/>
      <c r="S9" s="91"/>
      <c r="T9" s="91"/>
      <c r="U9" s="91"/>
      <c r="V9" s="91"/>
      <c r="W9" s="91"/>
      <c r="X9" s="91"/>
      <c r="Y9" s="91"/>
    </row>
    <row r="10" spans="1:25" s="90" customFormat="1">
      <c r="A10" s="32" t="s">
        <v>268</v>
      </c>
      <c r="C10" s="116"/>
      <c r="D10" s="117" t="s">
        <v>159</v>
      </c>
      <c r="E10" s="117" t="s">
        <v>158</v>
      </c>
      <c r="F10" s="117" t="s">
        <v>158</v>
      </c>
      <c r="G10" s="117" t="s">
        <v>158</v>
      </c>
      <c r="H10" s="117" t="s">
        <v>158</v>
      </c>
      <c r="I10" s="117" t="s">
        <v>158</v>
      </c>
      <c r="J10" s="117" t="s">
        <v>158</v>
      </c>
      <c r="K10" s="117" t="s">
        <v>158</v>
      </c>
      <c r="L10" s="117" t="s">
        <v>158</v>
      </c>
      <c r="M10" s="117" t="s">
        <v>158</v>
      </c>
      <c r="N10" s="117" t="s">
        <v>158</v>
      </c>
      <c r="O10" s="117" t="s">
        <v>158</v>
      </c>
      <c r="P10" s="117" t="s">
        <v>158</v>
      </c>
      <c r="Q10" s="117" t="s">
        <v>158</v>
      </c>
      <c r="R10" s="117" t="s">
        <v>158</v>
      </c>
      <c r="S10" s="117" t="s">
        <v>158</v>
      </c>
      <c r="T10" s="117" t="s">
        <v>158</v>
      </c>
      <c r="U10" s="117" t="s">
        <v>158</v>
      </c>
      <c r="V10" s="117" t="s">
        <v>158</v>
      </c>
      <c r="W10" s="117" t="s">
        <v>158</v>
      </c>
      <c r="X10" s="117" t="s">
        <v>160</v>
      </c>
      <c r="Y10" s="117"/>
    </row>
    <row r="11" spans="1:25">
      <c r="A11" s="379" t="s">
        <v>269</v>
      </c>
      <c r="B11" s="134"/>
      <c r="C11" s="135"/>
      <c r="D11" s="136"/>
      <c r="E11" s="136"/>
      <c r="F11" s="136"/>
      <c r="G11" s="136"/>
      <c r="H11" s="136"/>
      <c r="I11" s="136"/>
      <c r="J11" s="136"/>
      <c r="K11" s="136"/>
      <c r="L11" s="136"/>
      <c r="M11" s="136"/>
      <c r="N11" s="136"/>
      <c r="O11" s="136"/>
      <c r="P11" s="136"/>
      <c r="Q11" s="136"/>
      <c r="R11" s="136"/>
      <c r="S11" s="136"/>
      <c r="T11" s="136"/>
      <c r="U11" s="136"/>
      <c r="V11" s="136"/>
      <c r="W11" s="136"/>
      <c r="X11" s="136"/>
      <c r="Y11" s="137"/>
    </row>
    <row r="12" spans="1:25" ht="27.75" customHeight="1">
      <c r="A12" s="414"/>
      <c r="B12" s="121" t="s">
        <v>100</v>
      </c>
      <c r="C12" s="135" t="s">
        <v>231</v>
      </c>
      <c r="D12" s="221">
        <f t="shared" ref="D12:Y12" si="1">D14+D25+D27</f>
        <v>0</v>
      </c>
      <c r="E12" s="221">
        <f t="shared" si="1"/>
        <v>0</v>
      </c>
      <c r="F12" s="221">
        <f t="shared" si="1"/>
        <v>0</v>
      </c>
      <c r="G12" s="221">
        <f t="shared" si="1"/>
        <v>0</v>
      </c>
      <c r="H12" s="221">
        <f t="shared" si="1"/>
        <v>0</v>
      </c>
      <c r="I12" s="221">
        <f t="shared" si="1"/>
        <v>0</v>
      </c>
      <c r="J12" s="221">
        <f t="shared" si="1"/>
        <v>0</v>
      </c>
      <c r="K12" s="221">
        <f t="shared" si="1"/>
        <v>0</v>
      </c>
      <c r="L12" s="221">
        <f t="shared" si="1"/>
        <v>0</v>
      </c>
      <c r="M12" s="221">
        <f t="shared" si="1"/>
        <v>0</v>
      </c>
      <c r="N12" s="221">
        <f t="shared" si="1"/>
        <v>0</v>
      </c>
      <c r="O12" s="221">
        <f t="shared" si="1"/>
        <v>0</v>
      </c>
      <c r="P12" s="221">
        <f t="shared" si="1"/>
        <v>0</v>
      </c>
      <c r="Q12" s="221">
        <f t="shared" si="1"/>
        <v>0</v>
      </c>
      <c r="R12" s="221">
        <f t="shared" si="1"/>
        <v>0</v>
      </c>
      <c r="S12" s="221">
        <f t="shared" ca="1" si="1"/>
        <v>0</v>
      </c>
      <c r="T12" s="221">
        <f t="shared" ca="1" si="1"/>
        <v>0</v>
      </c>
      <c r="U12" s="221">
        <f t="shared" ca="1" si="1"/>
        <v>0</v>
      </c>
      <c r="V12" s="221">
        <f t="shared" ca="1" si="1"/>
        <v>0</v>
      </c>
      <c r="W12" s="221">
        <f t="shared" ca="1" si="1"/>
        <v>0</v>
      </c>
      <c r="X12" s="221">
        <f t="shared" ca="1" si="1"/>
        <v>0</v>
      </c>
      <c r="Y12" s="221">
        <f t="shared" ca="1" si="1"/>
        <v>0</v>
      </c>
    </row>
    <row r="13" spans="1:25">
      <c r="A13" s="415" t="b">
        <v>0</v>
      </c>
      <c r="B13" s="51" t="s">
        <v>309</v>
      </c>
      <c r="C13" s="119"/>
      <c r="D13" s="222"/>
      <c r="E13" s="222"/>
      <c r="F13" s="222"/>
      <c r="G13" s="222"/>
      <c r="H13" s="222"/>
      <c r="I13" s="222"/>
      <c r="J13" s="222"/>
      <c r="K13" s="222"/>
      <c r="L13" s="222"/>
      <c r="M13" s="222"/>
      <c r="N13" s="222"/>
      <c r="O13" s="222"/>
      <c r="P13" s="222"/>
      <c r="Q13" s="222"/>
      <c r="R13" s="222"/>
      <c r="S13" s="222"/>
      <c r="T13" s="222"/>
      <c r="U13" s="222"/>
      <c r="V13" s="222"/>
      <c r="W13" s="222"/>
      <c r="X13" s="222"/>
      <c r="Y13" s="222"/>
    </row>
    <row r="14" spans="1:25" ht="25.5">
      <c r="B14" s="139" t="s">
        <v>101</v>
      </c>
      <c r="C14" s="125" t="s">
        <v>189</v>
      </c>
      <c r="D14" s="217">
        <f>IF(D8=$D$8,0,(C16/C17*C23*D18)-(C16*C22))</f>
        <v>0</v>
      </c>
      <c r="E14" s="217">
        <f>IF(E8=$D$8,0,(D16/D17*D23*E18)-(D16*D22))</f>
        <v>0</v>
      </c>
      <c r="F14" s="217">
        <f t="shared" ref="F14:Y14" si="2">IF(F8=$D$8,0,(E16/E17*E23*F18)-(E16*E22))</f>
        <v>0</v>
      </c>
      <c r="G14" s="217">
        <f t="shared" si="2"/>
        <v>0</v>
      </c>
      <c r="H14" s="217">
        <f>IF(H8=$D$8,0,(G16/G17*G23*H18)-(G16*G22))</f>
        <v>0</v>
      </c>
      <c r="I14" s="217">
        <f t="shared" si="2"/>
        <v>0</v>
      </c>
      <c r="J14" s="217">
        <f t="shared" si="2"/>
        <v>0</v>
      </c>
      <c r="K14" s="217">
        <f t="shared" si="2"/>
        <v>0</v>
      </c>
      <c r="L14" s="217">
        <f t="shared" si="2"/>
        <v>0</v>
      </c>
      <c r="M14" s="217">
        <f t="shared" si="2"/>
        <v>0</v>
      </c>
      <c r="N14" s="217">
        <f t="shared" si="2"/>
        <v>0</v>
      </c>
      <c r="O14" s="217">
        <f t="shared" si="2"/>
        <v>0</v>
      </c>
      <c r="P14" s="217">
        <f t="shared" si="2"/>
        <v>0</v>
      </c>
      <c r="Q14" s="217">
        <f t="shared" si="2"/>
        <v>0</v>
      </c>
      <c r="R14" s="217">
        <f t="shared" si="2"/>
        <v>0</v>
      </c>
      <c r="S14" s="217">
        <f t="shared" ca="1" si="2"/>
        <v>0</v>
      </c>
      <c r="T14" s="217">
        <f t="shared" ca="1" si="2"/>
        <v>0</v>
      </c>
      <c r="U14" s="217">
        <f t="shared" ca="1" si="2"/>
        <v>0</v>
      </c>
      <c r="V14" s="217">
        <f t="shared" ca="1" si="2"/>
        <v>0</v>
      </c>
      <c r="W14" s="217">
        <f t="shared" ca="1" si="2"/>
        <v>0</v>
      </c>
      <c r="X14" s="217">
        <f t="shared" ca="1" si="2"/>
        <v>0</v>
      </c>
      <c r="Y14" s="217">
        <f t="shared" ca="1" si="2"/>
        <v>0</v>
      </c>
    </row>
    <row r="15" spans="1:25">
      <c r="B15" s="123" t="s">
        <v>165</v>
      </c>
      <c r="C15" s="119"/>
      <c r="D15" s="222"/>
      <c r="E15" s="222"/>
      <c r="F15" s="222"/>
      <c r="G15" s="222"/>
      <c r="H15" s="222"/>
      <c r="I15" s="222"/>
      <c r="J15" s="222"/>
      <c r="K15" s="222"/>
      <c r="L15" s="222"/>
      <c r="M15" s="222"/>
      <c r="N15" s="222"/>
      <c r="O15" s="222"/>
      <c r="P15" s="222"/>
      <c r="Q15" s="222"/>
      <c r="R15" s="222"/>
      <c r="S15" s="222"/>
      <c r="T15" s="222"/>
      <c r="U15" s="222"/>
      <c r="V15" s="222"/>
      <c r="W15" s="222"/>
      <c r="X15" s="222"/>
      <c r="Y15" s="222"/>
    </row>
    <row r="16" spans="1:25" ht="25.5">
      <c r="A16" s="169"/>
      <c r="B16" s="121" t="s">
        <v>84</v>
      </c>
      <c r="C16" s="135" t="s">
        <v>225</v>
      </c>
      <c r="D16" s="221">
        <f>'2b'!D10</f>
        <v>0</v>
      </c>
      <c r="E16" s="221">
        <f>'2b'!E10</f>
        <v>0</v>
      </c>
      <c r="F16" s="221">
        <f>'2b'!F10</f>
        <v>0</v>
      </c>
      <c r="G16" s="221">
        <f>'2b'!G10</f>
        <v>0</v>
      </c>
      <c r="H16" s="221">
        <f>'2b'!H10</f>
        <v>0</v>
      </c>
      <c r="I16" s="221">
        <f>'2b'!I10</f>
        <v>0</v>
      </c>
      <c r="J16" s="221">
        <f>'2b'!J10</f>
        <v>0</v>
      </c>
      <c r="K16" s="221">
        <f>'2b'!K10</f>
        <v>0</v>
      </c>
      <c r="L16" s="221">
        <f>'2b'!L10</f>
        <v>0</v>
      </c>
      <c r="M16" s="221">
        <f>'2b'!M10</f>
        <v>0</v>
      </c>
      <c r="N16" s="221">
        <f>'2b'!N10</f>
        <v>0</v>
      </c>
      <c r="O16" s="221">
        <f>'2b'!O10</f>
        <v>0</v>
      </c>
      <c r="P16" s="221">
        <f>'2b'!P10</f>
        <v>0</v>
      </c>
      <c r="Q16" s="221">
        <f>'2b'!Q10</f>
        <v>0</v>
      </c>
      <c r="R16" s="221">
        <f>'2b'!R10</f>
        <v>0</v>
      </c>
      <c r="S16" s="221">
        <f>'2b'!S10</f>
        <v>0</v>
      </c>
      <c r="T16" s="221">
        <f>'2b'!T10</f>
        <v>0</v>
      </c>
      <c r="U16" s="221">
        <f>'2b'!U10</f>
        <v>0</v>
      </c>
      <c r="V16" s="221">
        <f>'2b'!V10</f>
        <v>0</v>
      </c>
      <c r="W16" s="221">
        <f>'2b'!W10</f>
        <v>0</v>
      </c>
      <c r="X16" s="221">
        <f>'2b'!X10</f>
        <v>0</v>
      </c>
      <c r="Y16" s="221">
        <f>'2b'!Y10</f>
        <v>0</v>
      </c>
    </row>
    <row r="17" spans="2:25" ht="14.25">
      <c r="B17" s="140" t="s">
        <v>164</v>
      </c>
      <c r="C17" s="125" t="s">
        <v>194</v>
      </c>
      <c r="D17" s="231">
        <f>'2b'!D15</f>
        <v>0.9</v>
      </c>
      <c r="E17" s="231">
        <f>'2b'!E15</f>
        <v>1</v>
      </c>
      <c r="F17" s="231">
        <f>'2b'!F15</f>
        <v>1</v>
      </c>
      <c r="G17" s="231">
        <f>'2b'!G15</f>
        <v>1</v>
      </c>
      <c r="H17" s="231">
        <f>'2b'!H15</f>
        <v>1</v>
      </c>
      <c r="I17" s="231">
        <f>'2b'!I15</f>
        <v>1</v>
      </c>
      <c r="J17" s="231">
        <f>'2b'!J15</f>
        <v>1</v>
      </c>
      <c r="K17" s="231">
        <f>'2b'!K15</f>
        <v>1</v>
      </c>
      <c r="L17" s="231">
        <f>'2b'!L15</f>
        <v>1</v>
      </c>
      <c r="M17" s="231">
        <f>'2b'!M15</f>
        <v>1</v>
      </c>
      <c r="N17" s="231">
        <f>'2b'!N15</f>
        <v>1</v>
      </c>
      <c r="O17" s="231">
        <f>'2b'!O15</f>
        <v>1</v>
      </c>
      <c r="P17" s="231">
        <f>'2b'!P15</f>
        <v>1</v>
      </c>
      <c r="Q17" s="231">
        <f>'2b'!Q15</f>
        <v>1</v>
      </c>
      <c r="R17" s="231">
        <f>'2b'!R15</f>
        <v>1</v>
      </c>
      <c r="S17" s="231">
        <f>'2b'!S15</f>
        <v>1</v>
      </c>
      <c r="T17" s="231">
        <f>'2b'!T15</f>
        <v>1</v>
      </c>
      <c r="U17" s="231">
        <f>'2b'!U15</f>
        <v>1</v>
      </c>
      <c r="V17" s="231">
        <f>'2b'!V15</f>
        <v>1</v>
      </c>
      <c r="W17" s="231">
        <f>'2b'!W15</f>
        <v>1</v>
      </c>
      <c r="X17" s="231">
        <f>'2b'!X15</f>
        <v>9.9999999999999978E-2</v>
      </c>
      <c r="Y17" s="231">
        <f>'2b'!Y15</f>
        <v>0</v>
      </c>
    </row>
    <row r="18" spans="2:25" ht="14.25">
      <c r="B18" s="285" t="s">
        <v>273</v>
      </c>
      <c r="C18" s="125" t="s">
        <v>274</v>
      </c>
      <c r="D18" s="231">
        <f t="shared" ref="D18:I18" si="3">IF(D8&gt;=$D$8+6,HLOOKUP(D8-6,$D$8:$Y$17,10,FALSE),0)</f>
        <v>0</v>
      </c>
      <c r="E18" s="231">
        <f t="shared" si="3"/>
        <v>0</v>
      </c>
      <c r="F18" s="231">
        <f t="shared" si="3"/>
        <v>0</v>
      </c>
      <c r="G18" s="231">
        <f t="shared" si="3"/>
        <v>0</v>
      </c>
      <c r="H18" s="231">
        <f t="shared" si="3"/>
        <v>0</v>
      </c>
      <c r="I18" s="231">
        <f t="shared" si="3"/>
        <v>0</v>
      </c>
      <c r="J18" s="231">
        <f>IF(J8&gt;=$D$8+6,HLOOKUP(J8-6,$D$8:$Y$17,10,FALSE),0)</f>
        <v>0.9</v>
      </c>
      <c r="K18" s="231">
        <f t="shared" ref="K18:Y18" si="4">IF(K8&gt;=$D$8+6,HLOOKUP(K8-6,$D$8:$Y$17,10,FALSE),0)</f>
        <v>1</v>
      </c>
      <c r="L18" s="231">
        <f t="shared" si="4"/>
        <v>1</v>
      </c>
      <c r="M18" s="231">
        <f t="shared" si="4"/>
        <v>1</v>
      </c>
      <c r="N18" s="231">
        <f t="shared" si="4"/>
        <v>1</v>
      </c>
      <c r="O18" s="231">
        <f t="shared" si="4"/>
        <v>1</v>
      </c>
      <c r="P18" s="231">
        <f t="shared" si="4"/>
        <v>1</v>
      </c>
      <c r="Q18" s="231">
        <f t="shared" si="4"/>
        <v>1</v>
      </c>
      <c r="R18" s="231">
        <f t="shared" si="4"/>
        <v>1</v>
      </c>
      <c r="S18" s="231">
        <f t="shared" si="4"/>
        <v>1</v>
      </c>
      <c r="T18" s="231">
        <f t="shared" si="4"/>
        <v>1</v>
      </c>
      <c r="U18" s="231">
        <f t="shared" si="4"/>
        <v>1</v>
      </c>
      <c r="V18" s="231">
        <f t="shared" si="4"/>
        <v>1</v>
      </c>
      <c r="W18" s="231">
        <f t="shared" si="4"/>
        <v>1</v>
      </c>
      <c r="X18" s="231">
        <f t="shared" si="4"/>
        <v>1</v>
      </c>
      <c r="Y18" s="231">
        <f t="shared" si="4"/>
        <v>1</v>
      </c>
    </row>
    <row r="19" spans="2:25" ht="14.25">
      <c r="B19" s="142" t="s">
        <v>226</v>
      </c>
      <c r="C19" s="158"/>
      <c r="D19" s="184"/>
      <c r="E19" s="184"/>
      <c r="F19" s="184"/>
      <c r="G19" s="184"/>
      <c r="H19" s="184"/>
      <c r="I19" s="184"/>
      <c r="J19" s="184"/>
      <c r="K19" s="184"/>
      <c r="L19" s="184"/>
      <c r="M19" s="184"/>
      <c r="N19" s="184"/>
      <c r="O19" s="184"/>
      <c r="P19" s="184"/>
      <c r="Q19" s="184"/>
      <c r="R19" s="184"/>
      <c r="S19" s="184"/>
      <c r="T19" s="184"/>
      <c r="U19" s="184"/>
      <c r="V19" s="184"/>
      <c r="W19" s="184"/>
      <c r="X19" s="184"/>
      <c r="Y19" s="184"/>
    </row>
    <row r="20" spans="2:25">
      <c r="B20" s="142"/>
      <c r="C20" s="143"/>
      <c r="D20" s="144"/>
      <c r="E20" s="144"/>
      <c r="F20" s="144"/>
      <c r="G20" s="144"/>
      <c r="H20" s="144"/>
      <c r="I20" s="144"/>
      <c r="J20" s="144"/>
      <c r="K20" s="144"/>
      <c r="L20" s="144"/>
      <c r="M20" s="144"/>
      <c r="N20" s="144"/>
      <c r="O20" s="144"/>
      <c r="P20" s="144"/>
      <c r="Q20" s="144"/>
      <c r="R20" s="144"/>
      <c r="S20" s="144"/>
      <c r="T20" s="144"/>
      <c r="U20" s="144"/>
      <c r="V20" s="144"/>
      <c r="W20" s="144"/>
      <c r="X20" s="144"/>
      <c r="Y20" s="144"/>
    </row>
    <row r="21" spans="2:25">
      <c r="B21" s="145" t="s">
        <v>161</v>
      </c>
      <c r="C21" s="122"/>
      <c r="D21" s="146" t="s">
        <v>163</v>
      </c>
      <c r="E21" s="146" t="s">
        <v>157</v>
      </c>
      <c r="F21" s="146" t="s">
        <v>157</v>
      </c>
      <c r="G21" s="146" t="s">
        <v>157</v>
      </c>
      <c r="H21" s="146" t="s">
        <v>157</v>
      </c>
      <c r="I21" s="146" t="s">
        <v>157</v>
      </c>
      <c r="J21" s="146" t="s">
        <v>157</v>
      </c>
      <c r="K21" s="146" t="s">
        <v>157</v>
      </c>
      <c r="L21" s="146" t="s">
        <v>157</v>
      </c>
      <c r="M21" s="146" t="s">
        <v>157</v>
      </c>
      <c r="N21" s="146" t="s">
        <v>157</v>
      </c>
      <c r="O21" s="146" t="s">
        <v>157</v>
      </c>
      <c r="P21" s="146" t="s">
        <v>157</v>
      </c>
      <c r="Q21" s="146" t="s">
        <v>157</v>
      </c>
      <c r="R21" s="146" t="s">
        <v>157</v>
      </c>
      <c r="S21" s="146" t="s">
        <v>157</v>
      </c>
      <c r="T21" s="146" t="s">
        <v>157</v>
      </c>
      <c r="U21" s="146" t="s">
        <v>157</v>
      </c>
      <c r="V21" s="146" t="s">
        <v>157</v>
      </c>
      <c r="W21" s="146" t="s">
        <v>157</v>
      </c>
      <c r="X21" s="146" t="s">
        <v>162</v>
      </c>
      <c r="Y21" s="147"/>
    </row>
    <row r="22" spans="2:25" ht="25.5">
      <c r="B22" s="140" t="s">
        <v>109</v>
      </c>
      <c r="C22" s="148" t="s">
        <v>191</v>
      </c>
      <c r="D22" s="232">
        <f>'4b'!$K$16</f>
        <v>0</v>
      </c>
      <c r="E22" s="232">
        <f>'4b'!$K$17</f>
        <v>0</v>
      </c>
      <c r="F22" s="232">
        <f>'4b'!$K$18</f>
        <v>0</v>
      </c>
      <c r="G22" s="232">
        <f>'4b'!$K$19</f>
        <v>0</v>
      </c>
      <c r="H22" s="232">
        <f>'4b'!$K$20</f>
        <v>0</v>
      </c>
      <c r="I22" s="232">
        <f>'4b'!$K$21</f>
        <v>0</v>
      </c>
      <c r="J22" s="232">
        <f>'4b'!$K$22</f>
        <v>0</v>
      </c>
      <c r="K22" s="232">
        <f>'4b'!$K$23</f>
        <v>0</v>
      </c>
      <c r="L22" s="232">
        <f>'4b'!$K$24</f>
        <v>0</v>
      </c>
      <c r="M22" s="232">
        <f>'4b'!$K$25</f>
        <v>0</v>
      </c>
      <c r="N22" s="232">
        <f>'4b'!$K$26</f>
        <v>0</v>
      </c>
      <c r="O22" s="232">
        <f>'4b'!$K$27</f>
        <v>0</v>
      </c>
      <c r="P22" s="232">
        <f>'4b'!$K$28</f>
        <v>0</v>
      </c>
      <c r="Q22" s="232">
        <f>'4b'!$K$29</f>
        <v>0</v>
      </c>
      <c r="R22" s="232">
        <f ca="1">'4b'!$K$30</f>
        <v>0</v>
      </c>
      <c r="S22" s="232">
        <f ca="1">'4b'!$K$31</f>
        <v>0</v>
      </c>
      <c r="T22" s="232">
        <f ca="1">'4b'!$K$32</f>
        <v>0</v>
      </c>
      <c r="U22" s="232">
        <f ca="1">'4b'!$K$33</f>
        <v>0</v>
      </c>
      <c r="V22" s="232">
        <f ca="1">'4b'!$K$34</f>
        <v>0</v>
      </c>
      <c r="W22" s="232">
        <f ca="1">'4b'!$K$35</f>
        <v>0</v>
      </c>
      <c r="X22" s="232">
        <f ca="1">'4b'!$K$36</f>
        <v>0</v>
      </c>
      <c r="Y22" s="149"/>
    </row>
    <row r="23" spans="2:25" ht="25.5">
      <c r="B23" s="129" t="s">
        <v>75</v>
      </c>
      <c r="C23" s="150" t="s">
        <v>192</v>
      </c>
      <c r="D23" s="233">
        <f>'4b'!$M$16</f>
        <v>0</v>
      </c>
      <c r="E23" s="233">
        <f>'4b'!$M$17</f>
        <v>0</v>
      </c>
      <c r="F23" s="233">
        <f>'4b'!$M$18</f>
        <v>0</v>
      </c>
      <c r="G23" s="233">
        <f>'4b'!$M$19</f>
        <v>0</v>
      </c>
      <c r="H23" s="233">
        <f>'4b'!$M$20</f>
        <v>0</v>
      </c>
      <c r="I23" s="233">
        <f>'4b'!$M$21</f>
        <v>4.9924709103354004E-2</v>
      </c>
      <c r="J23" s="233">
        <f>'4b'!$M$22</f>
        <v>4.9924709103354004E-2</v>
      </c>
      <c r="K23" s="233">
        <f>'4b'!$M$23</f>
        <v>4.9924709103354004E-2</v>
      </c>
      <c r="L23" s="233">
        <f>'4b'!$M$24</f>
        <v>4.9924709103354004E-2</v>
      </c>
      <c r="M23" s="233">
        <f>'4b'!$M$25</f>
        <v>4.9924709103354004E-2</v>
      </c>
      <c r="N23" s="233">
        <f>'4b'!$M$26</f>
        <v>4.9924709103354004E-2</v>
      </c>
      <c r="O23" s="233">
        <f>'4b'!$M$27</f>
        <v>4.9924709103354004E-2</v>
      </c>
      <c r="P23" s="233">
        <f>'4b'!$M$28</f>
        <v>4.9924709103354004E-2</v>
      </c>
      <c r="Q23" s="233">
        <f>'4b'!$M$29</f>
        <v>4.9924709103354004E-2</v>
      </c>
      <c r="R23" s="233">
        <f>'4b'!$M$30</f>
        <v>4.9924709103354004E-2</v>
      </c>
      <c r="S23" s="233">
        <f ca="1">'4b'!$M$31</f>
        <v>4.9924709103354004E-2</v>
      </c>
      <c r="T23" s="233">
        <f ca="1">'4b'!$M$32</f>
        <v>4.9924709103354004E-2</v>
      </c>
      <c r="U23" s="233">
        <f ca="1">'4b'!$M$33</f>
        <v>4.9924709103354004E-2</v>
      </c>
      <c r="V23" s="233">
        <f ca="1">'4b'!$M$34</f>
        <v>4.9924709103354004E-2</v>
      </c>
      <c r="W23" s="233">
        <f ca="1">'4b'!$M$35</f>
        <v>4.9924709103354004E-2</v>
      </c>
      <c r="X23" s="233">
        <f ca="1">'4b'!$M$36</f>
        <v>4.9924709103354004E-2</v>
      </c>
      <c r="Y23" s="151"/>
    </row>
    <row r="24" spans="2:25">
      <c r="B24" s="152"/>
      <c r="C24" s="153"/>
      <c r="D24" s="154"/>
      <c r="E24" s="154"/>
      <c r="F24" s="154"/>
      <c r="G24" s="154"/>
      <c r="H24" s="154"/>
      <c r="I24" s="154"/>
      <c r="J24" s="154"/>
      <c r="K24" s="154"/>
      <c r="L24" s="154"/>
      <c r="M24" s="154"/>
      <c r="N24" s="154"/>
      <c r="O24" s="154"/>
      <c r="P24" s="154"/>
      <c r="Q24" s="154"/>
      <c r="R24" s="154"/>
      <c r="S24" s="154"/>
      <c r="T24" s="154"/>
      <c r="U24" s="154"/>
      <c r="V24" s="154"/>
      <c r="W24" s="154"/>
      <c r="X24" s="154"/>
      <c r="Y24" s="155"/>
    </row>
    <row r="25" spans="2:25" ht="25.5">
      <c r="B25" s="156" t="s">
        <v>76</v>
      </c>
      <c r="C25" s="135" t="s">
        <v>193</v>
      </c>
      <c r="D25" s="157"/>
      <c r="E25" s="157"/>
      <c r="F25" s="157"/>
      <c r="G25" s="157"/>
      <c r="H25" s="157"/>
      <c r="I25" s="157"/>
      <c r="J25" s="157"/>
      <c r="K25" s="157"/>
      <c r="L25" s="157"/>
      <c r="M25" s="157"/>
      <c r="N25" s="157"/>
      <c r="O25" s="157"/>
      <c r="P25" s="157"/>
      <c r="Q25" s="157"/>
      <c r="R25" s="157"/>
      <c r="S25" s="157"/>
      <c r="T25" s="157"/>
      <c r="U25" s="157"/>
      <c r="V25" s="157"/>
      <c r="W25" s="157"/>
      <c r="X25" s="157"/>
      <c r="Y25" s="200">
        <f ca="1">'8'!F16</f>
        <v>0</v>
      </c>
    </row>
    <row r="26" spans="2:25">
      <c r="B26" s="51" t="s">
        <v>323</v>
      </c>
      <c r="C26" s="51"/>
      <c r="D26" s="51"/>
      <c r="E26" s="51"/>
      <c r="F26" s="51"/>
      <c r="G26" s="51"/>
      <c r="H26" s="51"/>
      <c r="I26" s="159"/>
      <c r="J26" s="159"/>
      <c r="K26" s="159"/>
      <c r="L26" s="159"/>
      <c r="M26" s="159"/>
      <c r="N26" s="159"/>
      <c r="O26" s="159"/>
      <c r="P26" s="159"/>
      <c r="Q26" s="159"/>
      <c r="R26" s="159"/>
      <c r="S26" s="159"/>
      <c r="T26" s="159"/>
      <c r="U26" s="159"/>
      <c r="V26" s="159"/>
      <c r="W26" s="159"/>
      <c r="X26" s="159"/>
      <c r="Y26" s="138"/>
    </row>
    <row r="27" spans="2:25" ht="25.5">
      <c r="B27" s="156" t="s">
        <v>77</v>
      </c>
      <c r="C27" s="135" t="s">
        <v>196</v>
      </c>
      <c r="D27" s="221">
        <f>D29+(D36*'2f'!F18)</f>
        <v>0</v>
      </c>
      <c r="E27" s="221">
        <f>E29+(E36*'2f'!G18)</f>
        <v>0</v>
      </c>
      <c r="F27" s="221">
        <f>F29+(F36*'2f'!H18)</f>
        <v>0</v>
      </c>
      <c r="G27" s="221">
        <f>G29+(G36*'2f'!I18)</f>
        <v>0</v>
      </c>
      <c r="H27" s="221">
        <f>H29+(H36*'2f'!J18)</f>
        <v>0</v>
      </c>
      <c r="I27" s="221">
        <f>I29+(I36*'2f'!K18)</f>
        <v>0</v>
      </c>
      <c r="J27" s="221">
        <f>J29+(J36*'2f'!L18)</f>
        <v>0</v>
      </c>
      <c r="K27" s="221">
        <f>K29+(K36*'2f'!M18)</f>
        <v>0</v>
      </c>
      <c r="L27" s="221">
        <f>L29+(L36*'2f'!N18)</f>
        <v>0</v>
      </c>
      <c r="M27" s="221">
        <f>M29+(M36*'2f'!O18)</f>
        <v>0</v>
      </c>
      <c r="N27" s="221">
        <f>N29+(N36*'2f'!P18)</f>
        <v>0</v>
      </c>
      <c r="O27" s="221">
        <f>O29+(O36*'2f'!Q18)</f>
        <v>0</v>
      </c>
      <c r="P27" s="221">
        <f>P29+(P36*'2f'!R18)</f>
        <v>0</v>
      </c>
      <c r="Q27" s="221">
        <f>Q29+(Q36*'2f'!S18)</f>
        <v>0</v>
      </c>
      <c r="R27" s="221">
        <f>R29+(R36*'2f'!T18)</f>
        <v>0</v>
      </c>
      <c r="S27" s="221">
        <f>S29+(S36*'2f'!U18)</f>
        <v>0</v>
      </c>
      <c r="T27" s="221">
        <f>T29+(T36*'2f'!V18)</f>
        <v>0</v>
      </c>
      <c r="U27" s="221">
        <f>U29+(U36*'2f'!W18)</f>
        <v>0</v>
      </c>
      <c r="V27" s="221">
        <f>V29+(V36*'2f'!X18)</f>
        <v>0</v>
      </c>
      <c r="W27" s="221">
        <f>W29+(W36*'2f'!Y18)</f>
        <v>0</v>
      </c>
      <c r="X27" s="221">
        <f>X29+(X36*'2f'!Z18)</f>
        <v>0</v>
      </c>
      <c r="Y27" s="221">
        <f>Y29+(Y36*'2f'!AA18)</f>
        <v>0</v>
      </c>
    </row>
    <row r="28" spans="2:25">
      <c r="B28" s="123" t="s">
        <v>288</v>
      </c>
      <c r="C28" s="119"/>
      <c r="D28" s="234"/>
      <c r="E28" s="222"/>
      <c r="F28" s="222"/>
      <c r="G28" s="222"/>
      <c r="H28" s="222"/>
      <c r="I28" s="222"/>
      <c r="J28" s="222"/>
      <c r="K28" s="222"/>
      <c r="L28" s="222"/>
      <c r="M28" s="222"/>
      <c r="N28" s="222"/>
      <c r="O28" s="222"/>
      <c r="P28" s="222"/>
      <c r="Q28" s="222"/>
      <c r="R28" s="222"/>
      <c r="S28" s="222"/>
      <c r="T28" s="222"/>
      <c r="U28" s="222"/>
      <c r="V28" s="222"/>
      <c r="W28" s="222"/>
      <c r="X28" s="222"/>
      <c r="Y28" s="222"/>
    </row>
    <row r="29" spans="2:25" ht="25.5">
      <c r="B29" s="124" t="s">
        <v>78</v>
      </c>
      <c r="C29" s="160" t="s">
        <v>199</v>
      </c>
      <c r="D29" s="217">
        <f t="shared" ref="D29:X29" si="5">MAX(0, D31*D35)</f>
        <v>0</v>
      </c>
      <c r="E29" s="217">
        <f t="shared" si="5"/>
        <v>0</v>
      </c>
      <c r="F29" s="217">
        <f t="shared" si="5"/>
        <v>0</v>
      </c>
      <c r="G29" s="217">
        <f t="shared" si="5"/>
        <v>0</v>
      </c>
      <c r="H29" s="217">
        <f t="shared" si="5"/>
        <v>0</v>
      </c>
      <c r="I29" s="217">
        <f t="shared" si="5"/>
        <v>0</v>
      </c>
      <c r="J29" s="217">
        <f t="shared" si="5"/>
        <v>0</v>
      </c>
      <c r="K29" s="217">
        <f t="shared" si="5"/>
        <v>0</v>
      </c>
      <c r="L29" s="217">
        <f t="shared" si="5"/>
        <v>0</v>
      </c>
      <c r="M29" s="217">
        <f t="shared" si="5"/>
        <v>0</v>
      </c>
      <c r="N29" s="217">
        <f t="shared" si="5"/>
        <v>0</v>
      </c>
      <c r="O29" s="217">
        <f t="shared" si="5"/>
        <v>0</v>
      </c>
      <c r="P29" s="217">
        <f t="shared" si="5"/>
        <v>0</v>
      </c>
      <c r="Q29" s="217">
        <f t="shared" si="5"/>
        <v>0</v>
      </c>
      <c r="R29" s="217">
        <f t="shared" si="5"/>
        <v>0</v>
      </c>
      <c r="S29" s="217">
        <f t="shared" si="5"/>
        <v>0</v>
      </c>
      <c r="T29" s="217">
        <f t="shared" si="5"/>
        <v>0</v>
      </c>
      <c r="U29" s="217">
        <f t="shared" si="5"/>
        <v>0</v>
      </c>
      <c r="V29" s="217">
        <f t="shared" si="5"/>
        <v>0</v>
      </c>
      <c r="W29" s="217">
        <f t="shared" si="5"/>
        <v>0</v>
      </c>
      <c r="X29" s="217">
        <f t="shared" si="5"/>
        <v>0</v>
      </c>
      <c r="Y29" s="230"/>
    </row>
    <row r="30" spans="2:25">
      <c r="B30" s="123" t="s">
        <v>289</v>
      </c>
      <c r="C30" s="119"/>
      <c r="D30" s="222"/>
      <c r="E30" s="222"/>
      <c r="F30" s="222"/>
      <c r="G30" s="222"/>
      <c r="H30" s="222"/>
      <c r="I30" s="222"/>
      <c r="J30" s="222"/>
      <c r="K30" s="222"/>
      <c r="L30" s="222"/>
      <c r="M30" s="222"/>
      <c r="N30" s="222"/>
      <c r="O30" s="222"/>
      <c r="P30" s="222"/>
      <c r="Q30" s="222"/>
      <c r="R30" s="222"/>
      <c r="S30" s="222"/>
      <c r="T30" s="222"/>
      <c r="U30" s="222"/>
      <c r="V30" s="222"/>
      <c r="W30" s="222"/>
      <c r="X30" s="222"/>
      <c r="Y30" s="222"/>
    </row>
    <row r="31" spans="2:25" ht="25.5">
      <c r="B31" s="124" t="s">
        <v>324</v>
      </c>
      <c r="C31" s="160" t="s">
        <v>317</v>
      </c>
      <c r="D31" s="217">
        <f>'2b'!D10/D34*D33</f>
        <v>0</v>
      </c>
      <c r="E31" s="217">
        <f>'2b'!E10/E34*E33</f>
        <v>0</v>
      </c>
      <c r="F31" s="217">
        <f>'2b'!F10/F34*F33</f>
        <v>0</v>
      </c>
      <c r="G31" s="217">
        <f>'2b'!G10/G34*G33</f>
        <v>0</v>
      </c>
      <c r="H31" s="217">
        <f>'2b'!H10/H34*H33</f>
        <v>0</v>
      </c>
      <c r="I31" s="217">
        <f>'2b'!I10/I34*I33</f>
        <v>0</v>
      </c>
      <c r="J31" s="217">
        <f>'2b'!J10/J34*J33</f>
        <v>0</v>
      </c>
      <c r="K31" s="217">
        <f>'2b'!K10/K34*K33</f>
        <v>0</v>
      </c>
      <c r="L31" s="217">
        <f>'2b'!L10/L34*L33</f>
        <v>0</v>
      </c>
      <c r="M31" s="217">
        <f>'2b'!M10/M34*M33</f>
        <v>0</v>
      </c>
      <c r="N31" s="217">
        <f>'2b'!N10/N34*N33</f>
        <v>0</v>
      </c>
      <c r="O31" s="217">
        <f>'2b'!O10/O34*O33</f>
        <v>0</v>
      </c>
      <c r="P31" s="217">
        <f>'2b'!P10/P34*P33</f>
        <v>0</v>
      </c>
      <c r="Q31" s="217">
        <f>'2b'!Q10/Q34*Q33</f>
        <v>0</v>
      </c>
      <c r="R31" s="217">
        <f>'2b'!R10/R34*R33</f>
        <v>0</v>
      </c>
      <c r="S31" s="217">
        <f>'2b'!S10/S34*S33</f>
        <v>0</v>
      </c>
      <c r="T31" s="217">
        <f>'2b'!T10/T34*T33</f>
        <v>0</v>
      </c>
      <c r="U31" s="217">
        <f>'2b'!U10/U34*U33</f>
        <v>0</v>
      </c>
      <c r="V31" s="217">
        <f>'2b'!V10/V34*V33</f>
        <v>0</v>
      </c>
      <c r="W31" s="217">
        <f>'2b'!W10/W34*W33</f>
        <v>0</v>
      </c>
      <c r="X31" s="217">
        <f>'2b'!X10/X34*X33</f>
        <v>0</v>
      </c>
      <c r="Y31" s="230"/>
    </row>
    <row r="32" spans="2:25">
      <c r="B32" s="123" t="s">
        <v>318</v>
      </c>
      <c r="C32" s="119"/>
      <c r="D32" s="138"/>
      <c r="E32" s="138"/>
      <c r="F32" s="138"/>
      <c r="G32" s="138"/>
      <c r="H32" s="138"/>
      <c r="I32" s="138"/>
      <c r="J32" s="138"/>
      <c r="K32" s="138"/>
      <c r="L32" s="138"/>
      <c r="M32" s="138"/>
      <c r="N32" s="138"/>
      <c r="O32" s="138"/>
      <c r="P32" s="138"/>
      <c r="Q32" s="138"/>
      <c r="R32" s="138"/>
      <c r="S32" s="138"/>
      <c r="T32" s="138"/>
      <c r="U32" s="138"/>
      <c r="V32" s="138"/>
      <c r="W32" s="138"/>
      <c r="X32" s="138"/>
      <c r="Y32" s="138"/>
    </row>
    <row r="33" spans="2:25">
      <c r="B33" s="124" t="s">
        <v>63</v>
      </c>
      <c r="C33" s="160" t="s">
        <v>38</v>
      </c>
      <c r="D33" s="201">
        <v>0.31</v>
      </c>
      <c r="E33" s="201">
        <v>0.31</v>
      </c>
      <c r="F33" s="201">
        <v>0.31</v>
      </c>
      <c r="G33" s="201">
        <v>0.31</v>
      </c>
      <c r="H33" s="201">
        <v>0.31</v>
      </c>
      <c r="I33" s="201">
        <v>0.31</v>
      </c>
      <c r="J33" s="201">
        <v>0.31</v>
      </c>
      <c r="K33" s="201">
        <v>0.31</v>
      </c>
      <c r="L33" s="201">
        <v>0.31</v>
      </c>
      <c r="M33" s="201">
        <v>0.31</v>
      </c>
      <c r="N33" s="201">
        <v>0.31</v>
      </c>
      <c r="O33" s="201">
        <v>0.31</v>
      </c>
      <c r="P33" s="201">
        <v>0.31</v>
      </c>
      <c r="Q33" s="201">
        <v>0.31</v>
      </c>
      <c r="R33" s="201">
        <v>0.31</v>
      </c>
      <c r="S33" s="201">
        <v>0.31</v>
      </c>
      <c r="T33" s="201">
        <v>0.31</v>
      </c>
      <c r="U33" s="201">
        <v>0.31</v>
      </c>
      <c r="V33" s="201">
        <v>0.31</v>
      </c>
      <c r="W33" s="201">
        <v>0.31</v>
      </c>
      <c r="X33" s="201">
        <v>0.31</v>
      </c>
      <c r="Y33" s="161"/>
    </row>
    <row r="34" spans="2:25">
      <c r="B34" s="124" t="s">
        <v>325</v>
      </c>
      <c r="C34" s="160" t="s">
        <v>62</v>
      </c>
      <c r="D34" s="199">
        <f>'1'!$E$48</f>
        <v>200</v>
      </c>
      <c r="E34" s="199">
        <f>'1'!$E$48</f>
        <v>200</v>
      </c>
      <c r="F34" s="199">
        <f>'1'!$E$48</f>
        <v>200</v>
      </c>
      <c r="G34" s="199">
        <f>'1'!$E$48</f>
        <v>200</v>
      </c>
      <c r="H34" s="199">
        <f>'1'!$E$48</f>
        <v>200</v>
      </c>
      <c r="I34" s="199">
        <f>'1'!$E$48</f>
        <v>200</v>
      </c>
      <c r="J34" s="199">
        <f>'1'!$E$48</f>
        <v>200</v>
      </c>
      <c r="K34" s="199">
        <f>'1'!$E$48</f>
        <v>200</v>
      </c>
      <c r="L34" s="199">
        <f>'1'!$E$48</f>
        <v>200</v>
      </c>
      <c r="M34" s="199">
        <f>'1'!$E$48</f>
        <v>200</v>
      </c>
      <c r="N34" s="199">
        <f>'1'!$E$48</f>
        <v>200</v>
      </c>
      <c r="O34" s="199">
        <f>'1'!$E$48</f>
        <v>200</v>
      </c>
      <c r="P34" s="199">
        <f>'1'!$E$48</f>
        <v>200</v>
      </c>
      <c r="Q34" s="199">
        <f>'1'!$E$48</f>
        <v>200</v>
      </c>
      <c r="R34" s="199">
        <f>'1'!$E$48</f>
        <v>200</v>
      </c>
      <c r="S34" s="199">
        <f>'1'!$E$48</f>
        <v>200</v>
      </c>
      <c r="T34" s="199">
        <f>'1'!$E$48</f>
        <v>200</v>
      </c>
      <c r="U34" s="199">
        <f>'1'!$E$48</f>
        <v>200</v>
      </c>
      <c r="V34" s="199">
        <f>'1'!$E$48</f>
        <v>200</v>
      </c>
      <c r="W34" s="199">
        <f>'1'!$E$48</f>
        <v>200</v>
      </c>
      <c r="X34" s="199">
        <f>'1'!$E$48</f>
        <v>200</v>
      </c>
      <c r="Y34" s="141"/>
    </row>
    <row r="35" spans="2:25" ht="25.5">
      <c r="B35" s="156" t="s">
        <v>327</v>
      </c>
      <c r="C35" s="162" t="s">
        <v>204</v>
      </c>
      <c r="D35" s="198">
        <f>'1'!D24/1000</f>
        <v>0</v>
      </c>
      <c r="E35" s="198">
        <f>'1'!E24/1000</f>
        <v>0</v>
      </c>
      <c r="F35" s="198">
        <f>'1'!F24/1000</f>
        <v>0</v>
      </c>
      <c r="G35" s="198">
        <f>'1'!G24/1000</f>
        <v>0</v>
      </c>
      <c r="H35" s="198">
        <f>'1'!H24/1000</f>
        <v>0</v>
      </c>
      <c r="I35" s="198">
        <f>'1'!I24/1000</f>
        <v>0</v>
      </c>
      <c r="J35" s="198">
        <f>'1'!J24/1000</f>
        <v>0</v>
      </c>
      <c r="K35" s="198">
        <f>'1'!K24/1000</f>
        <v>0</v>
      </c>
      <c r="L35" s="198">
        <f>'1'!L24/1000</f>
        <v>0</v>
      </c>
      <c r="M35" s="198">
        <f>'1'!M24/1000</f>
        <v>0</v>
      </c>
      <c r="N35" s="198">
        <f>'1'!N24/1000</f>
        <v>0</v>
      </c>
      <c r="O35" s="198">
        <f>'1'!O24/1000</f>
        <v>0</v>
      </c>
      <c r="P35" s="198">
        <f>'1'!P24/1000</f>
        <v>0</v>
      </c>
      <c r="Q35" s="198">
        <f>'1'!Q24/1000</f>
        <v>0</v>
      </c>
      <c r="R35" s="198">
        <f>'1'!R24/1000</f>
        <v>0</v>
      </c>
      <c r="S35" s="198">
        <f>'1'!S24/1000</f>
        <v>0</v>
      </c>
      <c r="T35" s="198">
        <f>'1'!T24/1000</f>
        <v>0</v>
      </c>
      <c r="U35" s="198">
        <f>'1'!U24/1000</f>
        <v>0</v>
      </c>
      <c r="V35" s="198">
        <f>'1'!V24/1000</f>
        <v>0</v>
      </c>
      <c r="W35" s="198">
        <f>'1'!W24/1000</f>
        <v>0</v>
      </c>
      <c r="X35" s="198">
        <f>'1'!X24/1000</f>
        <v>0</v>
      </c>
      <c r="Y35" s="137"/>
    </row>
    <row r="36" spans="2:25" ht="25.5">
      <c r="B36" s="156" t="s">
        <v>79</v>
      </c>
      <c r="C36" s="162" t="s">
        <v>206</v>
      </c>
      <c r="D36" s="221">
        <f>'1'!D25</f>
        <v>0</v>
      </c>
      <c r="E36" s="221">
        <f>'1'!E25</f>
        <v>0</v>
      </c>
      <c r="F36" s="221">
        <f>'1'!F25</f>
        <v>0</v>
      </c>
      <c r="G36" s="221">
        <f>'1'!G25</f>
        <v>0</v>
      </c>
      <c r="H36" s="221">
        <f>'1'!H25</f>
        <v>0</v>
      </c>
      <c r="I36" s="221">
        <f>'1'!I25</f>
        <v>0</v>
      </c>
      <c r="J36" s="221">
        <f>'1'!J25</f>
        <v>0</v>
      </c>
      <c r="K36" s="221">
        <f>'1'!K25</f>
        <v>0</v>
      </c>
      <c r="L36" s="221">
        <f>'1'!L25</f>
        <v>0</v>
      </c>
      <c r="M36" s="221">
        <f>'1'!M25</f>
        <v>0</v>
      </c>
      <c r="N36" s="221">
        <f>'1'!N25</f>
        <v>0</v>
      </c>
      <c r="O36" s="221">
        <f>'1'!O25</f>
        <v>0</v>
      </c>
      <c r="P36" s="221">
        <f>'1'!P25</f>
        <v>0</v>
      </c>
      <c r="Q36" s="221">
        <f>'1'!Q25</f>
        <v>0</v>
      </c>
      <c r="R36" s="221">
        <f>'1'!R25</f>
        <v>0</v>
      </c>
      <c r="S36" s="221">
        <f>'1'!S25</f>
        <v>0</v>
      </c>
      <c r="T36" s="221">
        <f>'1'!T25</f>
        <v>0</v>
      </c>
      <c r="U36" s="221">
        <f>'1'!U25</f>
        <v>0</v>
      </c>
      <c r="V36" s="221">
        <f>'1'!V25</f>
        <v>0</v>
      </c>
      <c r="W36" s="221">
        <f>'1'!W25</f>
        <v>0</v>
      </c>
      <c r="X36" s="221">
        <f>'1'!X25</f>
        <v>0</v>
      </c>
      <c r="Y36" s="137"/>
    </row>
    <row r="37" spans="2:25">
      <c r="B37" s="152"/>
      <c r="C37" s="163"/>
      <c r="D37" s="133"/>
      <c r="E37" s="133"/>
      <c r="F37" s="133"/>
      <c r="G37" s="133"/>
      <c r="H37" s="133"/>
      <c r="I37" s="133"/>
      <c r="J37" s="133"/>
      <c r="K37" s="133"/>
      <c r="L37" s="133"/>
      <c r="M37" s="133"/>
      <c r="N37" s="133"/>
      <c r="O37" s="133"/>
      <c r="P37" s="133"/>
      <c r="Q37" s="133"/>
      <c r="R37" s="133"/>
      <c r="S37" s="133"/>
      <c r="T37" s="133"/>
      <c r="U37" s="133"/>
      <c r="V37" s="133"/>
      <c r="W37" s="133"/>
      <c r="X37" s="133"/>
      <c r="Y37" s="133"/>
    </row>
    <row r="38" spans="2:25"/>
    <row r="39" spans="2:25" hidden="1"/>
    <row r="40" spans="2:25" hidden="1"/>
    <row r="41" spans="2:25" hidden="1"/>
    <row r="42" spans="2:25" hidden="1"/>
    <row r="43" spans="2:25" hidden="1"/>
    <row r="44" spans="2:25" hidden="1"/>
    <row r="45" spans="2:25" hidden="1"/>
    <row r="46" spans="2:25" hidden="1"/>
    <row r="47" spans="2:25" hidden="1"/>
    <row r="48" spans="2:25"/>
    <row r="49"/>
  </sheetData>
  <sheetProtection sheet="1" objects="1" scenarios="1"/>
  <conditionalFormatting sqref="A8 A11">
    <cfRule type="cellIs" dxfId="27" priority="3" operator="equal">
      <formula>"O"</formula>
    </cfRule>
    <cfRule type="cellIs" dxfId="26" priority="4" operator="equal">
      <formula>"P"</formula>
    </cfRule>
  </conditionalFormatting>
  <hyperlinks>
    <hyperlink ref="A5" location="'Sign off'!A1" display="Index"/>
  </hyperlinks>
  <printOptions horizontalCentered="1" headings="1"/>
  <pageMargins left="0" right="0" top="0" bottom="0.35433070866141736" header="0" footer="0"/>
  <pageSetup paperSize="8" scale="67" orientation="landscape" r:id="rId1"/>
  <headerFooter>
    <oddFooter>&amp;L&amp;Z&amp;F&amp;A&amp;C&amp;P&amp;R&amp;D</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lassification xmlns="eecedeb9-13b3-4e62-b003-046c92e1668a">Unclassified</Classification>
    <_Status xmlns="http://schemas.microsoft.com/sharepoint/v3/fields">Draft</_Status>
    <_x003a_ xmlns="eecedeb9-13b3-4e62-b003-046c92e1668a" xsi:nil="true"/>
    <Organisation xmlns="eecedeb9-13b3-4e62-b003-046c92e1668a">Choose an Organisation</Organisation>
    <_x003a__x003a_ xmlns="eecedeb9-13b3-4e62-b003-046c92e1668a">-Main Document</_x003a__x003a_>
    <Descriptor xmlns="eecedeb9-13b3-4e62-b003-046c92e1668a"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Information" ma:contentTypeID="0x010100028D52C9A5433B438C8A1988457E255700ADCCE711E899984DB7C319D7E8B72AF3" ma:contentTypeVersion="18" ma:contentTypeDescription="This is for internal and external Ofgem information." ma:contentTypeScope="" ma:versionID="8b9aa05d1fc5ae97751b98a01cb9618c">
  <xsd:schema xmlns:xsd="http://www.w3.org/2001/XMLSchema" xmlns:p="http://schemas.microsoft.com/office/2006/metadata/properties" xmlns:ns2="eecedeb9-13b3-4e62-b003-046c92e1668a" xmlns:ns3="http://schemas.microsoft.com/sharepoint/v3/fields" targetNamespace="http://schemas.microsoft.com/office/2006/metadata/properties" ma:root="true" ma:fieldsID="b53170f44bb6b3fd38915577de489281" ns2:_="" ns3:_="">
    <xsd:import namespace="eecedeb9-13b3-4e62-b003-046c92e1668a"/>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xsd:element ref="ns2:Descriptor"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fault=""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F8252E-C1C9-4C70-BBB8-ACC3AB5F8BEB}">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eecedeb9-13b3-4e62-b003-046c92e1668a"/>
    <ds:schemaRef ds:uri="http://schemas.microsoft.com/sharepoint/v3/fields"/>
    <ds:schemaRef ds:uri="http://schemas.openxmlformats.org/package/2006/metadata/core-properties"/>
  </ds:schemaRefs>
</ds:datastoreItem>
</file>

<file path=customXml/itemProps2.xml><?xml version="1.0" encoding="utf-8"?>
<ds:datastoreItem xmlns:ds="http://schemas.openxmlformats.org/officeDocument/2006/customXml" ds:itemID="{EF98F796-3D67-4821-9E6F-01CE5ECA8925}">
  <ds:schemaRefs>
    <ds:schemaRef ds:uri="http://schemas.microsoft.com/office/2006/metadata/longProperties"/>
  </ds:schemaRefs>
</ds:datastoreItem>
</file>

<file path=customXml/itemProps3.xml><?xml version="1.0" encoding="utf-8"?>
<ds:datastoreItem xmlns:ds="http://schemas.openxmlformats.org/officeDocument/2006/customXml" ds:itemID="{FD5F145E-9555-4822-8923-B7D6E315BD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edeb9-13b3-4e62-b003-046c92e1668a"/>
    <ds:schemaRef ds:uri="http://schemas.microsoft.com/sharepoint/v3/field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29862C73-5A90-4582-AC2E-A9E8C1FCE5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7</vt:i4>
      </vt:variant>
    </vt:vector>
  </HeadingPairs>
  <TitlesOfParts>
    <vt:vector size="29" baseType="lpstr">
      <vt:lpstr>Cover</vt:lpstr>
      <vt:lpstr>Sign off</vt:lpstr>
      <vt:lpstr>Log</vt:lpstr>
      <vt:lpstr>Universal data</vt:lpstr>
      <vt:lpstr>1</vt:lpstr>
      <vt:lpstr>2a</vt:lpstr>
      <vt:lpstr>2b</vt:lpstr>
      <vt:lpstr>2c</vt:lpstr>
      <vt:lpstr>2d</vt:lpstr>
      <vt:lpstr>2e</vt:lpstr>
      <vt:lpstr>2f</vt:lpstr>
      <vt:lpstr>3a</vt:lpstr>
      <vt:lpstr>3b</vt:lpstr>
      <vt:lpstr>3c</vt:lpstr>
      <vt:lpstr>4a</vt:lpstr>
      <vt:lpstr>4b</vt:lpstr>
      <vt:lpstr>5a</vt:lpstr>
      <vt:lpstr>5b</vt:lpstr>
      <vt:lpstr>5c</vt:lpstr>
      <vt:lpstr>6</vt:lpstr>
      <vt:lpstr>7</vt:lpstr>
      <vt:lpstr>8</vt:lpstr>
      <vt:lpstr>'4a'!Print_Area</vt:lpstr>
      <vt:lpstr>'4b'!Print_Area</vt:lpstr>
      <vt:lpstr>Cover!Print_Area</vt:lpstr>
      <vt:lpstr>Log!Print_Area</vt:lpstr>
      <vt:lpstr>'2f'!Print_Titles</vt:lpstr>
      <vt:lpstr>'4a'!Print_Titles</vt:lpstr>
      <vt:lpstr>'7'!Print_Titles</vt:lpstr>
    </vt:vector>
  </TitlesOfParts>
  <Company>The Brattle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Offshore Transmission Owner (OFTO) illustrative revenue model_April13</dc:title>
  <dc:subject/>
  <dc:creator>Jack Stirzaker</dc:creator>
  <cp:lastModifiedBy>neilr</cp:lastModifiedBy>
  <cp:lastPrinted>2010-10-26T12:26:47Z</cp:lastPrinted>
  <dcterms:created xsi:type="dcterms:W3CDTF">2009-05-06T10:09:13Z</dcterms:created>
  <dcterms:modified xsi:type="dcterms:W3CDTF">2014-03-18T14:49:39Z</dcterms:modified>
  <cp:contentType>Information</cp:contentType>
  <cp:contentStatus>Final and Sent to Registry</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0x010100028D52C9A5433B438C8A1988457E255700ADCCE711E899984DB7C319D7E8B72AF3</vt:lpwstr>
  </property>
  <property fmtid="{D5CDD505-2E9C-101B-9397-08002B2CF9AE}" pid="3" name="ContentType">
    <vt:lpwstr>Other</vt:lpwstr>
  </property>
  <property fmtid="{D5CDD505-2E9C-101B-9397-08002B2CF9AE}" pid="4" name="Ref No New">
    <vt:lpwstr/>
  </property>
  <property fmtid="{D5CDD505-2E9C-101B-9397-08002B2CF9AE}" pid="5" name="Overview">
    <vt:lpwstr/>
  </property>
  <property fmtid="{D5CDD505-2E9C-101B-9397-08002B2CF9AE}" pid="6" name="Publication Date:">
    <vt:lpwstr>2009-10-14T00:00:00Z</vt:lpwstr>
  </property>
  <property fmtid="{D5CDD505-2E9C-101B-9397-08002B2CF9AE}" pid="7" name="Work Area">
    <vt:lpwstr>Offshore Transmission</vt:lpwstr>
  </property>
  <property fmtid="{D5CDD505-2E9C-101B-9397-08002B2CF9AE}" pid="8" name="Closing Date">
    <vt:lpwstr>1999-11-30T00:00:00Z</vt:lpwstr>
  </property>
  <property fmtid="{D5CDD505-2E9C-101B-9397-08002B2CF9AE}" pid="9" name="Applicable Start Date">
    <vt:lpwstr>2009-12-21T13:49:11Z</vt:lpwstr>
  </property>
  <property fmtid="{D5CDD505-2E9C-101B-9397-08002B2CF9AE}" pid="10" name="Recipient">
    <vt:lpwstr/>
  </property>
  <property fmtid="{D5CDD505-2E9C-101B-9397-08002B2CF9AE}" pid="11" name="Applicable Duration">
    <vt:lpwstr>-</vt:lpwstr>
  </property>
</Properties>
</file>