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776D291D-3AB9-46F2-AE5A-E579648CA416}" xr6:coauthVersionLast="47" xr6:coauthVersionMax="47" xr10:uidLastSave="{00000000-0000-0000-0000-000000000000}"/>
  <bookViews>
    <workbookView xWindow="-108" yWindow="-108" windowWidth="23256" windowHeight="12576" xr2:uid="{00000000-000D-0000-FFFF-FFFF00000000}"/>
  </bookViews>
  <sheets>
    <sheet name="Cover" sheetId="31" r:id="rId1"/>
    <sheet name="Links to individual RFPRs" sheetId="45" r:id="rId2"/>
    <sheet name="Data" sheetId="17" r:id="rId3"/>
    <sheet name="Supporting narrative" sheetId="40" r:id="rId4"/>
    <sheet name="RoRE by sector 2023-24" sheetId="51" r:id="rId5"/>
    <sheet name="RoRE position 2023-24" sheetId="50" r:id="rId6"/>
    <sheet name="RAV-Gearing" sheetId="19" r:id="rId7"/>
    <sheet name="RIIO-2 totex performance " sheetId="27" r:id="rId8"/>
    <sheet name="Charts (RIIO-2) " sheetId="20" r:id="rId9"/>
    <sheet name="Backup&gt;&gt;&gt;" sheetId="52" r:id="rId10"/>
    <sheet name="GD" sheetId="23" r:id="rId11"/>
    <sheet name="Cadent" sheetId="8" r:id="rId12"/>
    <sheet name="NGN" sheetId="9" r:id="rId13"/>
    <sheet name="SGN" sheetId="10" r:id="rId14"/>
    <sheet name="WWU" sheetId="11" r:id="rId15"/>
    <sheet name="GT" sheetId="15" r:id="rId16"/>
    <sheet name="ET" sheetId="12" r:id="rId17"/>
    <sheet name="NGET" sheetId="24" r:id="rId18"/>
    <sheet name="SPT" sheetId="13" r:id="rId19"/>
    <sheet name="SHET" sheetId="14" r:id="rId20"/>
    <sheet name="ED" sheetId="53" r:id="rId21"/>
    <sheet name="ENWL" sheetId="54" r:id="rId22"/>
    <sheet name="NGED" sheetId="55" r:id="rId23"/>
    <sheet name="NPg" sheetId="56" r:id="rId24"/>
    <sheet name="SPEN" sheetId="57" r:id="rId25"/>
    <sheet name="SSE" sheetId="58" r:id="rId26"/>
    <sheet name="UKPN" sheetId="59" r:id="rId27"/>
    <sheet name="Input sheet - RAV Gearing" sheetId="16"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1" l="1"/>
  <c r="B13" i="51" l="1"/>
  <c r="E13" i="19" l="1"/>
  <c r="M15" i="19" l="1"/>
  <c r="AD37" i="50" l="1"/>
  <c r="AD31" i="50"/>
  <c r="AD30" i="50"/>
  <c r="AD29" i="50"/>
  <c r="AD28" i="50"/>
  <c r="AD27" i="50"/>
  <c r="AD26" i="50"/>
  <c r="AD25" i="50"/>
  <c r="AD24" i="50"/>
  <c r="AD23" i="50"/>
  <c r="AD22" i="50"/>
  <c r="AD21" i="50"/>
  <c r="AD20" i="50"/>
  <c r="AD19" i="50"/>
  <c r="AD18" i="50"/>
  <c r="E32" i="50"/>
  <c r="E33" i="50"/>
  <c r="E34" i="50"/>
  <c r="D32" i="50"/>
  <c r="D33" i="50"/>
  <c r="C32" i="50"/>
  <c r="C33" i="50"/>
  <c r="C29" i="27" l="1"/>
  <c r="K20" i="19" l="1"/>
  <c r="N13" i="19" l="1"/>
  <c r="N15" i="19"/>
  <c r="J57" i="57" l="1"/>
  <c r="J31" i="57" l="1"/>
  <c r="J58" i="57" l="1"/>
  <c r="C13" i="19" l="1"/>
  <c r="L13" i="19" l="1"/>
  <c r="L15" i="19" l="1"/>
  <c r="M13" i="19" l="1"/>
  <c r="O13" i="19" l="1"/>
  <c r="O15" i="19" l="1"/>
  <c r="H79" i="53" l="1"/>
  <c r="G79" i="53"/>
  <c r="F79" i="53"/>
  <c r="E79" i="53"/>
  <c r="D79" i="53"/>
  <c r="K79" i="53"/>
  <c r="J79" i="53"/>
  <c r="G28" i="59" l="1"/>
  <c r="H28" i="59"/>
  <c r="E28" i="59"/>
  <c r="F28" i="59"/>
  <c r="D28" i="59"/>
  <c r="J28" i="59"/>
  <c r="K28" i="59"/>
  <c r="P13" i="19" l="1"/>
  <c r="D57" i="59" l="1"/>
  <c r="J57" i="59"/>
  <c r="P15" i="19"/>
  <c r="K19" i="19" s="1"/>
  <c r="E57" i="59"/>
  <c r="F57" i="59" l="1"/>
  <c r="H57" i="59" l="1"/>
  <c r="G57" i="59"/>
  <c r="K57" i="59" l="1"/>
  <c r="J60" i="59" l="1"/>
  <c r="J61" i="59" l="1"/>
  <c r="J32" i="59"/>
  <c r="J57" i="58" l="1"/>
  <c r="J58" i="58" l="1"/>
  <c r="J31" i="58"/>
  <c r="J57" i="56" l="1"/>
  <c r="J31" i="56" l="1"/>
  <c r="J58" i="56" l="1"/>
  <c r="J55" i="56"/>
  <c r="J54" i="56"/>
  <c r="J53" i="56"/>
  <c r="J52" i="56"/>
  <c r="J51" i="56"/>
  <c r="J50" i="56"/>
  <c r="J49" i="56"/>
  <c r="J48" i="56"/>
  <c r="J47" i="56"/>
  <c r="J46" i="56"/>
  <c r="J45" i="56"/>
  <c r="J44" i="56"/>
  <c r="J43" i="56"/>
  <c r="J42" i="56"/>
  <c r="J41" i="56"/>
  <c r="J40" i="56"/>
  <c r="J39" i="56"/>
  <c r="J38" i="56"/>
  <c r="J30" i="56"/>
  <c r="J28" i="56"/>
  <c r="J27" i="56"/>
  <c r="J26" i="56"/>
  <c r="J25" i="56"/>
  <c r="J24" i="56"/>
  <c r="J23" i="56"/>
  <c r="J22" i="56"/>
  <c r="J21" i="56"/>
  <c r="J20" i="56"/>
  <c r="J19" i="56"/>
  <c r="J18" i="56"/>
  <c r="J17" i="56"/>
  <c r="J16" i="56"/>
  <c r="J15" i="56"/>
  <c r="J14" i="56"/>
  <c r="J13" i="56"/>
  <c r="J12" i="56"/>
  <c r="J11" i="56"/>
  <c r="J29" i="56" l="1"/>
  <c r="J32" i="56" s="1"/>
  <c r="J56" i="56"/>
  <c r="J59" i="56" s="1"/>
  <c r="J13" i="55"/>
  <c r="J20" i="55"/>
  <c r="J28" i="55"/>
  <c r="J12" i="55"/>
  <c r="J21" i="55"/>
  <c r="J14" i="55"/>
  <c r="J22" i="55"/>
  <c r="J15" i="55"/>
  <c r="J23" i="55"/>
  <c r="J16" i="55"/>
  <c r="J24" i="55"/>
  <c r="J17" i="55"/>
  <c r="J25" i="55"/>
  <c r="J18" i="55"/>
  <c r="J26" i="55"/>
  <c r="J11" i="55"/>
  <c r="J19" i="55"/>
  <c r="J27" i="55"/>
  <c r="J53" i="55"/>
  <c r="J29" i="55" l="1"/>
  <c r="J39" i="55"/>
  <c r="J38" i="55"/>
  <c r="J48" i="55"/>
  <c r="J54" i="55"/>
  <c r="J40" i="55"/>
  <c r="J46" i="55"/>
  <c r="J45" i="55"/>
  <c r="J49" i="55"/>
  <c r="J50" i="55"/>
  <c r="J41" i="55"/>
  <c r="J51" i="55"/>
  <c r="J42" i="55"/>
  <c r="J55" i="55"/>
  <c r="J43" i="55"/>
  <c r="J52" i="55"/>
  <c r="J47" i="55"/>
  <c r="J44" i="55"/>
  <c r="J56" i="55" l="1"/>
  <c r="D30" i="55" l="1"/>
  <c r="J30" i="55" l="1"/>
  <c r="E30" i="55"/>
  <c r="J57" i="55" l="1"/>
  <c r="G30" i="55"/>
  <c r="J31" i="55" l="1"/>
  <c r="J32" i="55" s="1"/>
  <c r="D31" i="55"/>
  <c r="J58" i="55"/>
  <c r="J59" i="55" s="1"/>
  <c r="E31" i="55"/>
  <c r="F30" i="55" l="1"/>
  <c r="F57" i="55"/>
  <c r="H30" i="55"/>
  <c r="F31" i="55" l="1"/>
  <c r="F58" i="55"/>
  <c r="G31" i="55"/>
  <c r="H31" i="55" l="1"/>
  <c r="C28" i="27" l="1"/>
  <c r="C27" i="27"/>
  <c r="C26" i="27"/>
  <c r="H88" i="53"/>
  <c r="G88" i="53"/>
  <c r="F88" i="53"/>
  <c r="E88" i="53"/>
  <c r="D88" i="53"/>
  <c r="H82" i="53"/>
  <c r="G82" i="53"/>
  <c r="F82" i="53"/>
  <c r="E82" i="53"/>
  <c r="D82" i="53"/>
  <c r="H81" i="53"/>
  <c r="G81" i="53"/>
  <c r="F81" i="53"/>
  <c r="E81" i="53"/>
  <c r="D81" i="53"/>
  <c r="H80" i="53"/>
  <c r="G80" i="53"/>
  <c r="F80" i="53"/>
  <c r="E80" i="53"/>
  <c r="D80" i="53"/>
  <c r="H78" i="53"/>
  <c r="G78" i="53"/>
  <c r="F78" i="53"/>
  <c r="E78" i="53"/>
  <c r="D78" i="53"/>
  <c r="H77" i="53"/>
  <c r="G77" i="53"/>
  <c r="F77" i="53"/>
  <c r="E77" i="53"/>
  <c r="D77" i="53"/>
  <c r="H76" i="53"/>
  <c r="G76" i="53"/>
  <c r="F76" i="53"/>
  <c r="E76" i="53"/>
  <c r="D76" i="53"/>
  <c r="H75" i="53"/>
  <c r="G75" i="53"/>
  <c r="F75" i="53"/>
  <c r="E75" i="53"/>
  <c r="D75" i="53"/>
  <c r="H74" i="53"/>
  <c r="G74" i="53"/>
  <c r="F74" i="53"/>
  <c r="E74" i="53"/>
  <c r="D74" i="53"/>
  <c r="H73" i="53"/>
  <c r="G73" i="53"/>
  <c r="F73" i="53"/>
  <c r="E73" i="53"/>
  <c r="D73" i="53"/>
  <c r="H72" i="53"/>
  <c r="G72" i="53"/>
  <c r="F72" i="53"/>
  <c r="E72" i="53"/>
  <c r="D72" i="53"/>
  <c r="H71" i="53"/>
  <c r="G71" i="53"/>
  <c r="F71" i="53"/>
  <c r="E71" i="53"/>
  <c r="D71" i="53"/>
  <c r="H70" i="53"/>
  <c r="G70" i="53"/>
  <c r="F70" i="53"/>
  <c r="E70" i="53"/>
  <c r="D70" i="53"/>
  <c r="K88" i="53"/>
  <c r="J88" i="53"/>
  <c r="K85" i="53"/>
  <c r="J85" i="53"/>
  <c r="K84" i="53"/>
  <c r="J84" i="53"/>
  <c r="K83" i="53"/>
  <c r="J83" i="53"/>
  <c r="K82" i="53"/>
  <c r="J82" i="53"/>
  <c r="K81" i="53"/>
  <c r="J81" i="53"/>
  <c r="K80" i="53"/>
  <c r="J80" i="53"/>
  <c r="K78" i="53"/>
  <c r="J78" i="53"/>
  <c r="K77" i="53"/>
  <c r="J77" i="53"/>
  <c r="K76" i="53"/>
  <c r="J76" i="53"/>
  <c r="K75" i="53"/>
  <c r="J75" i="53"/>
  <c r="K74" i="53"/>
  <c r="J74" i="53"/>
  <c r="K73" i="53"/>
  <c r="J73" i="53"/>
  <c r="K72" i="53"/>
  <c r="J72" i="53"/>
  <c r="K71" i="53"/>
  <c r="J71" i="53"/>
  <c r="K70" i="53"/>
  <c r="J70" i="53"/>
  <c r="K69" i="53"/>
  <c r="J69" i="53"/>
  <c r="H69" i="53"/>
  <c r="G69" i="53"/>
  <c r="F69" i="53"/>
  <c r="E69" i="53"/>
  <c r="D69" i="53"/>
  <c r="K89" i="53" l="1"/>
  <c r="J89" i="53"/>
  <c r="F15" i="54"/>
  <c r="E20" i="54"/>
  <c r="D83" i="53"/>
  <c r="D25" i="54"/>
  <c r="J25" i="54"/>
  <c r="K25" i="54"/>
  <c r="F12" i="54"/>
  <c r="J14" i="54"/>
  <c r="K14" i="54"/>
  <c r="D14" i="54"/>
  <c r="G15" i="54"/>
  <c r="E17" i="54"/>
  <c r="H18" i="54"/>
  <c r="F20" i="54"/>
  <c r="J22" i="54"/>
  <c r="K22" i="54"/>
  <c r="D22" i="54"/>
  <c r="G23" i="54"/>
  <c r="E83" i="53"/>
  <c r="E25" i="54"/>
  <c r="H84" i="53"/>
  <c r="H26" i="54"/>
  <c r="F28" i="54"/>
  <c r="J30" i="54"/>
  <c r="K30" i="54"/>
  <c r="D30" i="54"/>
  <c r="E12" i="54"/>
  <c r="K17" i="54"/>
  <c r="D17" i="54"/>
  <c r="J17" i="54"/>
  <c r="F23" i="54"/>
  <c r="E28" i="54"/>
  <c r="G12" i="54"/>
  <c r="E14" i="54"/>
  <c r="H15" i="54"/>
  <c r="F17" i="54"/>
  <c r="J19" i="54"/>
  <c r="K19" i="54"/>
  <c r="D19" i="54"/>
  <c r="G20" i="54"/>
  <c r="E22" i="54"/>
  <c r="H23" i="54"/>
  <c r="F83" i="53"/>
  <c r="F25" i="54"/>
  <c r="D85" i="53"/>
  <c r="J27" i="54"/>
  <c r="K27" i="54"/>
  <c r="D27" i="54"/>
  <c r="G28" i="54"/>
  <c r="E30" i="54"/>
  <c r="H12" i="54"/>
  <c r="F14" i="54"/>
  <c r="J16" i="54"/>
  <c r="D16" i="54"/>
  <c r="K16" i="54"/>
  <c r="G17" i="54"/>
  <c r="E19" i="54"/>
  <c r="H20" i="54"/>
  <c r="F22" i="54"/>
  <c r="J24" i="54"/>
  <c r="D24" i="54"/>
  <c r="K24" i="54"/>
  <c r="G83" i="53"/>
  <c r="G25" i="54"/>
  <c r="E85" i="53"/>
  <c r="E27" i="54"/>
  <c r="H28" i="54"/>
  <c r="F30" i="54"/>
  <c r="D13" i="54"/>
  <c r="K13" i="54"/>
  <c r="J13" i="54"/>
  <c r="G14" i="54"/>
  <c r="E16" i="54"/>
  <c r="H17" i="54"/>
  <c r="F19" i="54"/>
  <c r="D21" i="54"/>
  <c r="K21" i="54"/>
  <c r="J21" i="54"/>
  <c r="G22" i="54"/>
  <c r="E24" i="54"/>
  <c r="H25" i="54"/>
  <c r="H83" i="53"/>
  <c r="F27" i="54"/>
  <c r="F85" i="53"/>
  <c r="D29" i="54"/>
  <c r="K29" i="54"/>
  <c r="J29" i="54"/>
  <c r="G30" i="54"/>
  <c r="H13" i="54"/>
  <c r="G18" i="54"/>
  <c r="H21" i="54"/>
  <c r="G84" i="53"/>
  <c r="G26" i="54"/>
  <c r="H29" i="54"/>
  <c r="E13" i="54"/>
  <c r="H14" i="54"/>
  <c r="F16" i="54"/>
  <c r="J18" i="54"/>
  <c r="K18" i="54"/>
  <c r="D18" i="54"/>
  <c r="G19" i="54"/>
  <c r="E21" i="54"/>
  <c r="H22" i="54"/>
  <c r="F24" i="54"/>
  <c r="J26" i="54"/>
  <c r="K26" i="54"/>
  <c r="D84" i="53"/>
  <c r="D26" i="54"/>
  <c r="G85" i="53"/>
  <c r="G27" i="54"/>
  <c r="E29" i="54"/>
  <c r="H30" i="54"/>
  <c r="F13" i="54"/>
  <c r="J15" i="54"/>
  <c r="K15" i="54"/>
  <c r="D15" i="54"/>
  <c r="G16" i="54"/>
  <c r="E18" i="54"/>
  <c r="H19" i="54"/>
  <c r="F21" i="54"/>
  <c r="J23" i="54"/>
  <c r="K23" i="54"/>
  <c r="D23" i="54"/>
  <c r="G24" i="54"/>
  <c r="E84" i="53"/>
  <c r="E26" i="54"/>
  <c r="H85" i="53"/>
  <c r="H27" i="54"/>
  <c r="F29" i="54"/>
  <c r="D12" i="54"/>
  <c r="J12" i="54"/>
  <c r="K12" i="54"/>
  <c r="G13" i="54"/>
  <c r="E15" i="54"/>
  <c r="H16" i="54"/>
  <c r="F18" i="54"/>
  <c r="D20" i="54"/>
  <c r="J20" i="54"/>
  <c r="K20" i="54"/>
  <c r="G21" i="54"/>
  <c r="E23" i="54"/>
  <c r="H24" i="54"/>
  <c r="F26" i="54"/>
  <c r="F84" i="53"/>
  <c r="D28" i="54"/>
  <c r="J28" i="54"/>
  <c r="K28" i="54"/>
  <c r="G29" i="54"/>
  <c r="D40" i="54"/>
  <c r="F89" i="53" l="1"/>
  <c r="E89" i="53"/>
  <c r="D89" i="53"/>
  <c r="H89" i="53"/>
  <c r="G89" i="53"/>
  <c r="D46" i="54"/>
  <c r="D53" i="54"/>
  <c r="D57" i="54"/>
  <c r="J49" i="54"/>
  <c r="J57" i="54"/>
  <c r="J44" i="54"/>
  <c r="J41" i="54"/>
  <c r="D44" i="54"/>
  <c r="J54" i="54"/>
  <c r="J48" i="54"/>
  <c r="J51" i="54"/>
  <c r="J47" i="54"/>
  <c r="J42" i="54"/>
  <c r="J58" i="54"/>
  <c r="D50" i="54"/>
  <c r="D56" i="54"/>
  <c r="J43" i="54"/>
  <c r="D49" i="54"/>
  <c r="D45" i="54"/>
  <c r="D55" i="54"/>
  <c r="D43" i="54"/>
  <c r="J52" i="54"/>
  <c r="J50" i="54"/>
  <c r="D42" i="54"/>
  <c r="J53" i="54"/>
  <c r="D48" i="54"/>
  <c r="J46" i="54"/>
  <c r="J59" i="54"/>
  <c r="D54" i="54"/>
  <c r="J55" i="54"/>
  <c r="D52" i="54"/>
  <c r="J56" i="54"/>
  <c r="D41" i="54"/>
  <c r="D47" i="54"/>
  <c r="D58" i="54"/>
  <c r="J45" i="54"/>
  <c r="D59" i="54"/>
  <c r="D51" i="54"/>
  <c r="D32" i="54" l="1"/>
  <c r="D90" i="53"/>
  <c r="E41" i="54"/>
  <c r="E50" i="54"/>
  <c r="E55" i="54"/>
  <c r="E54" i="54"/>
  <c r="E43" i="54"/>
  <c r="E56" i="54"/>
  <c r="E44" i="54"/>
  <c r="E59" i="54"/>
  <c r="E45" i="54"/>
  <c r="E58" i="54"/>
  <c r="E46" i="54"/>
  <c r="E57" i="54"/>
  <c r="E51" i="54"/>
  <c r="E52" i="54"/>
  <c r="E48" i="54"/>
  <c r="E49" i="54"/>
  <c r="E53" i="54"/>
  <c r="E42" i="54"/>
  <c r="E47" i="54"/>
  <c r="J90" i="53"/>
  <c r="D91" i="53"/>
  <c r="D61" i="54" l="1"/>
  <c r="J61" i="54"/>
  <c r="J91" i="53"/>
  <c r="F43" i="54" l="1"/>
  <c r="F55" i="54"/>
  <c r="F49" i="54"/>
  <c r="F48" i="54"/>
  <c r="F42" i="54"/>
  <c r="F41" i="54"/>
  <c r="F53" i="54"/>
  <c r="F47" i="54"/>
  <c r="F44" i="54"/>
  <c r="F52" i="54"/>
  <c r="F54" i="54"/>
  <c r="F58" i="54"/>
  <c r="F57" i="54"/>
  <c r="F51" i="54"/>
  <c r="F56" i="54"/>
  <c r="F45" i="54"/>
  <c r="F50" i="54"/>
  <c r="F59" i="54"/>
  <c r="F46" i="54"/>
  <c r="J33" i="54" l="1"/>
  <c r="D33" i="54"/>
  <c r="E90" i="53"/>
  <c r="E32" i="54"/>
  <c r="D92" i="53"/>
  <c r="J92" i="53"/>
  <c r="E91" i="53"/>
  <c r="E61" i="54" l="1"/>
  <c r="J93" i="53"/>
  <c r="J94" i="53" s="1"/>
  <c r="D62" i="54"/>
  <c r="D93" i="53" l="1"/>
  <c r="J62" i="54"/>
  <c r="G44" i="54"/>
  <c r="G55" i="54"/>
  <c r="G49" i="54"/>
  <c r="G51" i="54"/>
  <c r="G56" i="54"/>
  <c r="G50" i="54"/>
  <c r="G58" i="54"/>
  <c r="G46" i="54"/>
  <c r="G47" i="54"/>
  <c r="G45" i="54"/>
  <c r="G48" i="54"/>
  <c r="G52" i="54"/>
  <c r="G57" i="54"/>
  <c r="G43" i="54"/>
  <c r="G59" i="54"/>
  <c r="G54" i="54"/>
  <c r="G53" i="54"/>
  <c r="G42" i="54"/>
  <c r="G41" i="54"/>
  <c r="F90" i="53" l="1"/>
  <c r="F32" i="54"/>
  <c r="E92" i="53"/>
  <c r="E33" i="54"/>
  <c r="D94" i="53"/>
  <c r="F91" i="53"/>
  <c r="F61" i="54" l="1"/>
  <c r="E93" i="53" l="1"/>
  <c r="E94" i="53" s="1"/>
  <c r="E62" i="54"/>
  <c r="F92" i="53" l="1"/>
  <c r="F33" i="54"/>
  <c r="G90" i="53"/>
  <c r="G32" i="54"/>
  <c r="H49" i="54"/>
  <c r="H42" i="54"/>
  <c r="H54" i="54"/>
  <c r="H43" i="54"/>
  <c r="H48" i="54"/>
  <c r="H53" i="54"/>
  <c r="H55" i="54"/>
  <c r="H57" i="54"/>
  <c r="H50" i="54"/>
  <c r="H59" i="54"/>
  <c r="H58" i="54"/>
  <c r="H51" i="54"/>
  <c r="H44" i="54"/>
  <c r="H46" i="54"/>
  <c r="H56" i="54"/>
  <c r="H45" i="54"/>
  <c r="H47" i="54"/>
  <c r="H41" i="54"/>
  <c r="H52" i="54"/>
  <c r="K43" i="54"/>
  <c r="K21" i="50" s="1"/>
  <c r="K53" i="54"/>
  <c r="K31" i="50" s="1"/>
  <c r="K45" i="54"/>
  <c r="K23" i="50" s="1"/>
  <c r="K51" i="54"/>
  <c r="K29" i="50" s="1"/>
  <c r="K50" i="54"/>
  <c r="K28" i="50" s="1"/>
  <c r="K46" i="54"/>
  <c r="K24" i="50" s="1"/>
  <c r="K55" i="54"/>
  <c r="K57" i="54"/>
  <c r="K41" i="54"/>
  <c r="K19" i="50" s="1"/>
  <c r="K59" i="54"/>
  <c r="K37" i="50" s="1"/>
  <c r="K52" i="54"/>
  <c r="K30" i="50" s="1"/>
  <c r="K44" i="54"/>
  <c r="K22" i="50" s="1"/>
  <c r="K48" i="54"/>
  <c r="K26" i="50" s="1"/>
  <c r="K54" i="54"/>
  <c r="K42" i="54"/>
  <c r="K20" i="50" s="1"/>
  <c r="K56" i="54"/>
  <c r="K58" i="54"/>
  <c r="K49" i="54"/>
  <c r="K27" i="50" s="1"/>
  <c r="K47" i="54"/>
  <c r="K25" i="50" s="1"/>
  <c r="F93" i="53"/>
  <c r="G91" i="53"/>
  <c r="F94" i="53" l="1"/>
  <c r="G61" i="54"/>
  <c r="F62" i="54"/>
  <c r="K8" i="50"/>
  <c r="G92" i="53" l="1"/>
  <c r="G33" i="54"/>
  <c r="H90" i="53"/>
  <c r="H32" i="54"/>
  <c r="H91" i="53"/>
  <c r="K90" i="53"/>
  <c r="H61" i="54" l="1"/>
  <c r="K91" i="53"/>
  <c r="G93" i="53" l="1"/>
  <c r="G94" i="53" s="1"/>
  <c r="G62" i="54"/>
  <c r="H92" i="53" l="1"/>
  <c r="H33" i="54"/>
  <c r="K33" i="54"/>
  <c r="K92" i="53"/>
  <c r="K93" i="53" l="1"/>
  <c r="K94" i="53" s="1"/>
  <c r="H93" i="53" l="1"/>
  <c r="H94" i="53" s="1"/>
  <c r="H62" i="54"/>
  <c r="K57" i="15" l="1"/>
  <c r="J57" i="15"/>
  <c r="J58" i="15" l="1"/>
  <c r="K58" i="15"/>
  <c r="D55" i="10" l="1"/>
  <c r="G23" i="9" l="1"/>
  <c r="D24" i="9"/>
  <c r="J24" i="9"/>
  <c r="K24" i="9"/>
  <c r="H24" i="9"/>
  <c r="H23" i="9"/>
  <c r="D23" i="9"/>
  <c r="K23" i="9"/>
  <c r="J23" i="9"/>
  <c r="E24" i="9"/>
  <c r="E23" i="9"/>
  <c r="F24" i="9"/>
  <c r="F23" i="9"/>
  <c r="G24" i="9"/>
  <c r="D51" i="9" l="1"/>
  <c r="D50" i="9"/>
  <c r="E51" i="9" l="1"/>
  <c r="E50" i="9"/>
  <c r="J50" i="9"/>
  <c r="F50" i="9" l="1"/>
  <c r="F51" i="9"/>
  <c r="J51" i="9"/>
  <c r="K51" i="9"/>
  <c r="D31" i="50" s="1"/>
  <c r="H51" i="9" l="1"/>
  <c r="H50" i="9"/>
  <c r="G50" i="9"/>
  <c r="G51" i="9"/>
  <c r="K50" i="9"/>
  <c r="D30" i="50" s="1"/>
  <c r="D109" i="8" l="1"/>
  <c r="D38" i="8" l="1"/>
  <c r="H19" i="51" l="1"/>
  <c r="H18" i="51"/>
  <c r="AD41" i="50"/>
  <c r="AD38" i="50"/>
  <c r="AD17" i="50"/>
  <c r="AE37" i="50" s="1"/>
  <c r="AD16" i="50"/>
  <c r="J17" i="50"/>
  <c r="J16" i="50"/>
  <c r="P17" i="19"/>
  <c r="O17" i="19"/>
  <c r="N17" i="19"/>
  <c r="M17" i="19"/>
  <c r="L17" i="19"/>
  <c r="K17" i="19"/>
  <c r="B24" i="27"/>
  <c r="H97" i="53"/>
  <c r="G97" i="53"/>
  <c r="F97" i="53"/>
  <c r="E97" i="53"/>
  <c r="D97" i="53"/>
  <c r="H96" i="53"/>
  <c r="G96" i="53"/>
  <c r="F96" i="53"/>
  <c r="F11" i="53" s="1"/>
  <c r="E96" i="53"/>
  <c r="D96" i="53"/>
  <c r="K105" i="59"/>
  <c r="H29" i="27" s="1"/>
  <c r="J105" i="59"/>
  <c r="K104" i="59"/>
  <c r="H28" i="27" s="1"/>
  <c r="J104" i="59"/>
  <c r="K103" i="59"/>
  <c r="H27" i="27" s="1"/>
  <c r="J103" i="59"/>
  <c r="H105" i="59"/>
  <c r="G105" i="59"/>
  <c r="F105" i="59"/>
  <c r="E105" i="59"/>
  <c r="H104" i="59"/>
  <c r="G104" i="59"/>
  <c r="F104" i="59"/>
  <c r="E104" i="59"/>
  <c r="H103" i="59"/>
  <c r="G103" i="59"/>
  <c r="F103" i="59"/>
  <c r="E103" i="59"/>
  <c r="D105" i="59"/>
  <c r="D104" i="59"/>
  <c r="D103" i="59"/>
  <c r="K102" i="59"/>
  <c r="H26" i="27" s="1"/>
  <c r="J102" i="59"/>
  <c r="H102" i="59"/>
  <c r="G102" i="59"/>
  <c r="F102" i="59"/>
  <c r="E102" i="59"/>
  <c r="D102" i="59"/>
  <c r="K133" i="59"/>
  <c r="K134" i="59" s="1"/>
  <c r="J133" i="59"/>
  <c r="J134" i="59" s="1"/>
  <c r="H133" i="59"/>
  <c r="H134" i="59" s="1"/>
  <c r="G133" i="59"/>
  <c r="G134" i="59" s="1"/>
  <c r="F133" i="59"/>
  <c r="F134" i="59" s="1"/>
  <c r="E133" i="59"/>
  <c r="E134" i="59" s="1"/>
  <c r="D133" i="59"/>
  <c r="D134" i="59" s="1"/>
  <c r="K124" i="59"/>
  <c r="K125" i="59" s="1"/>
  <c r="J124" i="59"/>
  <c r="J125" i="59" s="1"/>
  <c r="H124" i="59"/>
  <c r="H125" i="59" s="1"/>
  <c r="G124" i="59"/>
  <c r="G125" i="59" s="1"/>
  <c r="F124" i="59"/>
  <c r="F125" i="59" s="1"/>
  <c r="E124" i="59"/>
  <c r="E125" i="59" s="1"/>
  <c r="D124" i="59"/>
  <c r="D125" i="59" s="1"/>
  <c r="K115" i="59"/>
  <c r="K116" i="59" s="1"/>
  <c r="J115" i="59"/>
  <c r="J116" i="59" s="1"/>
  <c r="H115" i="59"/>
  <c r="H116" i="59" s="1"/>
  <c r="G115" i="59"/>
  <c r="G116" i="59" s="1"/>
  <c r="F115" i="59"/>
  <c r="F116" i="59" s="1"/>
  <c r="E115" i="59"/>
  <c r="D115" i="59"/>
  <c r="D116" i="59" s="1"/>
  <c r="K99" i="58"/>
  <c r="G29" i="27" s="1"/>
  <c r="J99" i="58"/>
  <c r="H99" i="58"/>
  <c r="G99" i="58"/>
  <c r="F99" i="58"/>
  <c r="E99" i="58"/>
  <c r="D99" i="58"/>
  <c r="K98" i="58"/>
  <c r="G28" i="27" s="1"/>
  <c r="J98" i="58"/>
  <c r="H98" i="58"/>
  <c r="G98" i="58"/>
  <c r="F98" i="58"/>
  <c r="E98" i="58"/>
  <c r="D98" i="58"/>
  <c r="K97" i="58"/>
  <c r="G27" i="27" s="1"/>
  <c r="J97" i="58"/>
  <c r="H97" i="58"/>
  <c r="G97" i="58"/>
  <c r="F97" i="58"/>
  <c r="E97" i="58"/>
  <c r="D97" i="58"/>
  <c r="K96" i="58"/>
  <c r="G26" i="27" s="1"/>
  <c r="J96" i="58"/>
  <c r="H96" i="58"/>
  <c r="G96" i="58"/>
  <c r="F96" i="58"/>
  <c r="E96" i="58"/>
  <c r="D96" i="58"/>
  <c r="K118" i="58"/>
  <c r="K119" i="58" s="1"/>
  <c r="J118" i="58"/>
  <c r="J119" i="58" s="1"/>
  <c r="H118" i="58"/>
  <c r="H119" i="58" s="1"/>
  <c r="G118" i="58"/>
  <c r="G119" i="58" s="1"/>
  <c r="F118" i="58"/>
  <c r="F119" i="58" s="1"/>
  <c r="E118" i="58"/>
  <c r="E119" i="58" s="1"/>
  <c r="D118" i="58"/>
  <c r="D119" i="58" s="1"/>
  <c r="K109" i="58"/>
  <c r="K110" i="58" s="1"/>
  <c r="J109" i="58"/>
  <c r="J110" i="58" s="1"/>
  <c r="H109" i="58"/>
  <c r="H110" i="58" s="1"/>
  <c r="G109" i="58"/>
  <c r="G110" i="58" s="1"/>
  <c r="F109" i="58"/>
  <c r="F110" i="58" s="1"/>
  <c r="E109" i="58"/>
  <c r="E110" i="58" s="1"/>
  <c r="D109" i="58"/>
  <c r="K99" i="57"/>
  <c r="F29" i="27" s="1"/>
  <c r="J99" i="57"/>
  <c r="H99" i="57"/>
  <c r="G99" i="57"/>
  <c r="F99" i="57"/>
  <c r="E99" i="57"/>
  <c r="D99" i="57"/>
  <c r="K98" i="57"/>
  <c r="F28" i="27" s="1"/>
  <c r="J98" i="57"/>
  <c r="H98" i="57"/>
  <c r="G98" i="57"/>
  <c r="F98" i="57"/>
  <c r="E98" i="57"/>
  <c r="D98" i="57"/>
  <c r="K97" i="57"/>
  <c r="F27" i="27" s="1"/>
  <c r="J97" i="57"/>
  <c r="H97" i="57"/>
  <c r="G97" i="57"/>
  <c r="F97" i="57"/>
  <c r="E97" i="57"/>
  <c r="D97" i="57"/>
  <c r="K96" i="57"/>
  <c r="F26" i="27" s="1"/>
  <c r="J96" i="57"/>
  <c r="H96" i="57"/>
  <c r="G96" i="57"/>
  <c r="F96" i="57"/>
  <c r="E96" i="57"/>
  <c r="D96" i="57"/>
  <c r="K118" i="57"/>
  <c r="K119" i="57" s="1"/>
  <c r="J118" i="57"/>
  <c r="J119" i="57" s="1"/>
  <c r="H118" i="57"/>
  <c r="H119" i="57" s="1"/>
  <c r="G118" i="57"/>
  <c r="G119" i="57" s="1"/>
  <c r="F118" i="57"/>
  <c r="F119" i="57" s="1"/>
  <c r="E118" i="57"/>
  <c r="E119" i="57" s="1"/>
  <c r="D118" i="57"/>
  <c r="D119" i="57" s="1"/>
  <c r="K109" i="57"/>
  <c r="K110" i="57" s="1"/>
  <c r="J109" i="57"/>
  <c r="J110" i="57" s="1"/>
  <c r="H109" i="57"/>
  <c r="H110" i="57" s="1"/>
  <c r="G109" i="57"/>
  <c r="G110" i="57" s="1"/>
  <c r="F109" i="57"/>
  <c r="F110" i="57" s="1"/>
  <c r="E109" i="57"/>
  <c r="D109" i="57"/>
  <c r="D110" i="57" s="1"/>
  <c r="K99" i="56"/>
  <c r="E29" i="27" s="1"/>
  <c r="J99" i="56"/>
  <c r="H99" i="56"/>
  <c r="G99" i="56"/>
  <c r="F99" i="56"/>
  <c r="E99" i="56"/>
  <c r="D99" i="56"/>
  <c r="K98" i="56"/>
  <c r="E28" i="27" s="1"/>
  <c r="J98" i="56"/>
  <c r="H98" i="56"/>
  <c r="G98" i="56"/>
  <c r="F98" i="56"/>
  <c r="E98" i="56"/>
  <c r="D98" i="56"/>
  <c r="K97" i="56"/>
  <c r="E27" i="27" s="1"/>
  <c r="J97" i="56"/>
  <c r="H97" i="56"/>
  <c r="G97" i="56"/>
  <c r="F97" i="56"/>
  <c r="E97" i="56"/>
  <c r="D97" i="56"/>
  <c r="K96" i="56"/>
  <c r="E26" i="27" s="1"/>
  <c r="J96" i="56"/>
  <c r="H96" i="56"/>
  <c r="G96" i="56"/>
  <c r="F96" i="56"/>
  <c r="E96" i="56"/>
  <c r="D96" i="56"/>
  <c r="K118" i="56"/>
  <c r="K119" i="56" s="1"/>
  <c r="J118" i="56"/>
  <c r="H118" i="56"/>
  <c r="H119" i="56" s="1"/>
  <c r="G118" i="56"/>
  <c r="G119" i="56" s="1"/>
  <c r="F118" i="56"/>
  <c r="F119" i="56" s="1"/>
  <c r="E118" i="56"/>
  <c r="E119" i="56" s="1"/>
  <c r="D118" i="56"/>
  <c r="D119" i="56" s="1"/>
  <c r="K109" i="56"/>
  <c r="K110" i="56" s="1"/>
  <c r="J109" i="56"/>
  <c r="J110" i="56" s="1"/>
  <c r="H109" i="56"/>
  <c r="H110" i="56" s="1"/>
  <c r="G109" i="56"/>
  <c r="G110" i="56" s="1"/>
  <c r="F109" i="56"/>
  <c r="F110" i="56" s="1"/>
  <c r="E109" i="56"/>
  <c r="E110" i="56" s="1"/>
  <c r="D109" i="56"/>
  <c r="D110" i="56" s="1"/>
  <c r="K99" i="55"/>
  <c r="D29" i="27" s="1"/>
  <c r="J99" i="55"/>
  <c r="H99" i="55"/>
  <c r="G99" i="55"/>
  <c r="F99" i="55"/>
  <c r="E99" i="55"/>
  <c r="D99" i="55"/>
  <c r="K98" i="55"/>
  <c r="D28" i="27" s="1"/>
  <c r="J98" i="55"/>
  <c r="H98" i="55"/>
  <c r="G98" i="55"/>
  <c r="F98" i="55"/>
  <c r="E98" i="55"/>
  <c r="D98" i="55"/>
  <c r="K97" i="55"/>
  <c r="D27" i="27" s="1"/>
  <c r="J97" i="55"/>
  <c r="H97" i="55"/>
  <c r="G97" i="55"/>
  <c r="F97" i="55"/>
  <c r="E97" i="55"/>
  <c r="D97" i="55"/>
  <c r="K96" i="55"/>
  <c r="D26" i="27" s="1"/>
  <c r="J96" i="55"/>
  <c r="H96" i="55"/>
  <c r="G96" i="55"/>
  <c r="F96" i="55"/>
  <c r="E96" i="55"/>
  <c r="D96" i="55"/>
  <c r="H100" i="53"/>
  <c r="H100" i="54" s="1"/>
  <c r="G100" i="53"/>
  <c r="G100" i="54" s="1"/>
  <c r="F100" i="53"/>
  <c r="F100" i="59" s="1"/>
  <c r="F109" i="59" s="1"/>
  <c r="F118" i="59" s="1"/>
  <c r="F127" i="59" s="1"/>
  <c r="E100" i="53"/>
  <c r="C10" i="16" s="1"/>
  <c r="D100" i="53"/>
  <c r="D100" i="54" s="1"/>
  <c r="H101" i="53"/>
  <c r="F11" i="16" s="1"/>
  <c r="G101" i="53"/>
  <c r="G101" i="59" s="1"/>
  <c r="G110" i="59" s="1"/>
  <c r="G119" i="59" s="1"/>
  <c r="G128" i="59" s="1"/>
  <c r="F101" i="53"/>
  <c r="F101" i="54" s="1"/>
  <c r="E101" i="53"/>
  <c r="E101" i="59" s="1"/>
  <c r="E110" i="59" s="1"/>
  <c r="E119" i="59" s="1"/>
  <c r="E128" i="59" s="1"/>
  <c r="D101" i="53"/>
  <c r="B11" i="16" s="1"/>
  <c r="K101" i="53"/>
  <c r="K101" i="54" s="1"/>
  <c r="J101" i="53"/>
  <c r="J101" i="54" s="1"/>
  <c r="K136" i="55"/>
  <c r="K137" i="55" s="1"/>
  <c r="J136" i="55"/>
  <c r="J137" i="55" s="1"/>
  <c r="H136" i="55"/>
  <c r="H137" i="55" s="1"/>
  <c r="G136" i="55"/>
  <c r="G137" i="55" s="1"/>
  <c r="F136" i="55"/>
  <c r="F137" i="55" s="1"/>
  <c r="E136" i="55"/>
  <c r="E137" i="55" s="1"/>
  <c r="D136" i="55"/>
  <c r="D137" i="55" s="1"/>
  <c r="K127" i="55"/>
  <c r="K128" i="55" s="1"/>
  <c r="J127" i="55"/>
  <c r="J128" i="55" s="1"/>
  <c r="H127" i="55"/>
  <c r="H128" i="55" s="1"/>
  <c r="G127" i="55"/>
  <c r="G128" i="55" s="1"/>
  <c r="F127" i="55"/>
  <c r="F128" i="55" s="1"/>
  <c r="E127" i="55"/>
  <c r="E128" i="55" s="1"/>
  <c r="D127" i="55"/>
  <c r="D128" i="55" s="1"/>
  <c r="K118" i="55"/>
  <c r="K119" i="55" s="1"/>
  <c r="J118" i="55"/>
  <c r="J119" i="55" s="1"/>
  <c r="H118" i="55"/>
  <c r="H119" i="55" s="1"/>
  <c r="G118" i="55"/>
  <c r="G119" i="55" s="1"/>
  <c r="F118" i="55"/>
  <c r="F119" i="55" s="1"/>
  <c r="E118" i="55"/>
  <c r="E119" i="55" s="1"/>
  <c r="D118" i="55"/>
  <c r="D119" i="55" s="1"/>
  <c r="K109" i="55"/>
  <c r="K110" i="55" s="1"/>
  <c r="J109" i="55"/>
  <c r="J110" i="55" s="1"/>
  <c r="H109" i="55"/>
  <c r="H110" i="55" s="1"/>
  <c r="G109" i="55"/>
  <c r="G110" i="55" s="1"/>
  <c r="F109" i="55"/>
  <c r="F110" i="55" s="1"/>
  <c r="E109" i="55"/>
  <c r="D109" i="55"/>
  <c r="D110" i="55" s="1"/>
  <c r="K61" i="59"/>
  <c r="H61" i="59"/>
  <c r="G61" i="59"/>
  <c r="F61" i="59"/>
  <c r="E61" i="59"/>
  <c r="D61" i="59"/>
  <c r="K60" i="59"/>
  <c r="H60" i="59"/>
  <c r="G60" i="59"/>
  <c r="F60" i="59"/>
  <c r="E60" i="59"/>
  <c r="D60" i="59"/>
  <c r="K58" i="59"/>
  <c r="J58" i="59"/>
  <c r="H58" i="59"/>
  <c r="G58" i="59"/>
  <c r="F58" i="59"/>
  <c r="E58" i="59"/>
  <c r="D58" i="59"/>
  <c r="K56" i="59"/>
  <c r="J56" i="59"/>
  <c r="H56" i="59"/>
  <c r="G56" i="59"/>
  <c r="F56" i="59"/>
  <c r="E56" i="59"/>
  <c r="D56" i="59"/>
  <c r="K55" i="59"/>
  <c r="J55" i="59"/>
  <c r="H55" i="59"/>
  <c r="G55" i="59"/>
  <c r="F55" i="59"/>
  <c r="E55" i="59"/>
  <c r="D55" i="59"/>
  <c r="K54" i="59"/>
  <c r="J54" i="59"/>
  <c r="H54" i="59"/>
  <c r="G54" i="59"/>
  <c r="F54" i="59"/>
  <c r="E54" i="59"/>
  <c r="D54" i="59"/>
  <c r="K53" i="59"/>
  <c r="J53" i="59"/>
  <c r="H53" i="59"/>
  <c r="G53" i="59"/>
  <c r="F53" i="59"/>
  <c r="E53" i="59"/>
  <c r="D53" i="59"/>
  <c r="K52" i="59"/>
  <c r="J52" i="59"/>
  <c r="H52" i="59"/>
  <c r="G52" i="59"/>
  <c r="F52" i="59"/>
  <c r="E52" i="59"/>
  <c r="D52" i="59"/>
  <c r="K51" i="59"/>
  <c r="J51" i="59"/>
  <c r="H51" i="59"/>
  <c r="G51" i="59"/>
  <c r="F51" i="59"/>
  <c r="E51" i="59"/>
  <c r="D51" i="59"/>
  <c r="K50" i="59"/>
  <c r="J50" i="59"/>
  <c r="H50" i="59"/>
  <c r="G50" i="59"/>
  <c r="F50" i="59"/>
  <c r="E50" i="59"/>
  <c r="D50" i="59"/>
  <c r="K49" i="59"/>
  <c r="J49" i="59"/>
  <c r="H49" i="59"/>
  <c r="G49" i="59"/>
  <c r="F49" i="59"/>
  <c r="E49" i="59"/>
  <c r="D49" i="59"/>
  <c r="K48" i="59"/>
  <c r="J48" i="59"/>
  <c r="H48" i="59"/>
  <c r="G48" i="59"/>
  <c r="F48" i="59"/>
  <c r="E48" i="59"/>
  <c r="D48" i="59"/>
  <c r="K47" i="59"/>
  <c r="J47" i="59"/>
  <c r="H47" i="59"/>
  <c r="G47" i="59"/>
  <c r="F47" i="59"/>
  <c r="E47" i="59"/>
  <c r="D47" i="59"/>
  <c r="K46" i="59"/>
  <c r="J46" i="59"/>
  <c r="H46" i="59"/>
  <c r="G46" i="59"/>
  <c r="F46" i="59"/>
  <c r="E46" i="59"/>
  <c r="D46" i="59"/>
  <c r="K45" i="59"/>
  <c r="J45" i="59"/>
  <c r="H45" i="59"/>
  <c r="G45" i="59"/>
  <c r="F45" i="59"/>
  <c r="E45" i="59"/>
  <c r="D45" i="59"/>
  <c r="K44" i="59"/>
  <c r="J44" i="59"/>
  <c r="H44" i="59"/>
  <c r="G44" i="59"/>
  <c r="F44" i="59"/>
  <c r="E44" i="59"/>
  <c r="D44" i="59"/>
  <c r="K43" i="59"/>
  <c r="J43" i="59"/>
  <c r="H43" i="59"/>
  <c r="G43" i="59"/>
  <c r="F43" i="59"/>
  <c r="E43" i="59"/>
  <c r="D43" i="59"/>
  <c r="K42" i="59"/>
  <c r="J42" i="59"/>
  <c r="H42" i="59"/>
  <c r="G42" i="59"/>
  <c r="F42" i="59"/>
  <c r="E42" i="59"/>
  <c r="D42" i="59"/>
  <c r="K41" i="59"/>
  <c r="J41" i="59"/>
  <c r="H41" i="59"/>
  <c r="G41" i="59"/>
  <c r="F41" i="59"/>
  <c r="E41" i="59"/>
  <c r="D41" i="59"/>
  <c r="K40" i="59"/>
  <c r="J40" i="59"/>
  <c r="H40" i="59"/>
  <c r="G40" i="59"/>
  <c r="F40" i="59"/>
  <c r="E40" i="59"/>
  <c r="D40" i="59"/>
  <c r="K32" i="59"/>
  <c r="H32" i="59"/>
  <c r="G32" i="59"/>
  <c r="F32" i="59"/>
  <c r="E32" i="59"/>
  <c r="D32" i="59"/>
  <c r="K31" i="59"/>
  <c r="J31" i="59"/>
  <c r="H31" i="59"/>
  <c r="G31" i="59"/>
  <c r="F31" i="59"/>
  <c r="E31" i="59"/>
  <c r="D31" i="59"/>
  <c r="K29" i="59"/>
  <c r="J29" i="59"/>
  <c r="H29" i="59"/>
  <c r="G29" i="59"/>
  <c r="F29" i="59"/>
  <c r="E29" i="59"/>
  <c r="D29" i="59"/>
  <c r="K27" i="59"/>
  <c r="J27" i="59"/>
  <c r="H27" i="59"/>
  <c r="G27" i="59"/>
  <c r="F27" i="59"/>
  <c r="E27" i="59"/>
  <c r="D27" i="59"/>
  <c r="K26" i="59"/>
  <c r="J26" i="59"/>
  <c r="H26" i="59"/>
  <c r="G26" i="59"/>
  <c r="F26" i="59"/>
  <c r="E26" i="59"/>
  <c r="D26" i="59"/>
  <c r="K25" i="59"/>
  <c r="J25" i="59"/>
  <c r="H25" i="59"/>
  <c r="G25" i="59"/>
  <c r="F25" i="59"/>
  <c r="E25" i="59"/>
  <c r="D25" i="59"/>
  <c r="K24" i="59"/>
  <c r="J24" i="59"/>
  <c r="H24" i="59"/>
  <c r="G24" i="59"/>
  <c r="F24" i="59"/>
  <c r="E24" i="59"/>
  <c r="D24" i="59"/>
  <c r="K23" i="59"/>
  <c r="J23" i="59"/>
  <c r="H23" i="59"/>
  <c r="G23" i="59"/>
  <c r="F23" i="59"/>
  <c r="E23" i="59"/>
  <c r="D23" i="59"/>
  <c r="K22" i="59"/>
  <c r="J22" i="59"/>
  <c r="H22" i="59"/>
  <c r="G22" i="59"/>
  <c r="F22" i="59"/>
  <c r="E22" i="59"/>
  <c r="D22" i="59"/>
  <c r="K21" i="59"/>
  <c r="J21" i="59"/>
  <c r="H21" i="59"/>
  <c r="G21" i="59"/>
  <c r="F21" i="59"/>
  <c r="E21" i="59"/>
  <c r="D21" i="59"/>
  <c r="K20" i="59"/>
  <c r="J20" i="59"/>
  <c r="H20" i="59"/>
  <c r="G20" i="59"/>
  <c r="F20" i="59"/>
  <c r="E20" i="59"/>
  <c r="D20" i="59"/>
  <c r="K19" i="59"/>
  <c r="J19" i="59"/>
  <c r="H19" i="59"/>
  <c r="G19" i="59"/>
  <c r="F19" i="59"/>
  <c r="E19" i="59"/>
  <c r="D19" i="59"/>
  <c r="K18" i="59"/>
  <c r="J18" i="59"/>
  <c r="H18" i="59"/>
  <c r="G18" i="59"/>
  <c r="F18" i="59"/>
  <c r="E18" i="59"/>
  <c r="D18" i="59"/>
  <c r="K17" i="59"/>
  <c r="J17" i="59"/>
  <c r="H17" i="59"/>
  <c r="G17" i="59"/>
  <c r="F17" i="59"/>
  <c r="E17" i="59"/>
  <c r="D17" i="59"/>
  <c r="K16" i="59"/>
  <c r="J16" i="59"/>
  <c r="H16" i="59"/>
  <c r="G16" i="59"/>
  <c r="F16" i="59"/>
  <c r="E16" i="59"/>
  <c r="D16" i="59"/>
  <c r="K15" i="59"/>
  <c r="J15" i="59"/>
  <c r="H15" i="59"/>
  <c r="G15" i="59"/>
  <c r="F15" i="59"/>
  <c r="E15" i="59"/>
  <c r="D15" i="59"/>
  <c r="K14" i="59"/>
  <c r="J14" i="59"/>
  <c r="H14" i="59"/>
  <c r="G14" i="59"/>
  <c r="F14" i="59"/>
  <c r="E14" i="59"/>
  <c r="D14" i="59"/>
  <c r="K13" i="59"/>
  <c r="J13" i="59"/>
  <c r="H13" i="59"/>
  <c r="G13" i="59"/>
  <c r="F13" i="59"/>
  <c r="E13" i="59"/>
  <c r="D13" i="59"/>
  <c r="K12" i="59"/>
  <c r="J12" i="59"/>
  <c r="H12" i="59"/>
  <c r="G12" i="59"/>
  <c r="F12" i="59"/>
  <c r="E12" i="59"/>
  <c r="D12" i="59"/>
  <c r="K11" i="59"/>
  <c r="J11" i="59"/>
  <c r="H11" i="59"/>
  <c r="G11" i="59"/>
  <c r="F11" i="59"/>
  <c r="E11" i="59"/>
  <c r="D11" i="59"/>
  <c r="K58" i="58"/>
  <c r="H58" i="58"/>
  <c r="G58" i="58"/>
  <c r="F58" i="58"/>
  <c r="E58" i="58"/>
  <c r="D58" i="58"/>
  <c r="K57" i="58"/>
  <c r="H57" i="58"/>
  <c r="G57" i="58"/>
  <c r="F57" i="58"/>
  <c r="E57" i="58"/>
  <c r="D57" i="58"/>
  <c r="K55" i="58"/>
  <c r="J55" i="58"/>
  <c r="H55" i="58"/>
  <c r="G55" i="58"/>
  <c r="F55" i="58"/>
  <c r="E55" i="58"/>
  <c r="D55" i="58"/>
  <c r="K54" i="58"/>
  <c r="J54" i="58"/>
  <c r="H54" i="58"/>
  <c r="G54" i="58"/>
  <c r="F54" i="58"/>
  <c r="E54" i="58"/>
  <c r="D54" i="58"/>
  <c r="K53" i="58"/>
  <c r="J53" i="58"/>
  <c r="H53" i="58"/>
  <c r="G53" i="58"/>
  <c r="F53" i="58"/>
  <c r="E53" i="58"/>
  <c r="D53" i="58"/>
  <c r="K52" i="58"/>
  <c r="J52" i="58"/>
  <c r="H52" i="58"/>
  <c r="G52" i="58"/>
  <c r="F52" i="58"/>
  <c r="E52" i="58"/>
  <c r="D52" i="58"/>
  <c r="K51" i="58"/>
  <c r="J51" i="58"/>
  <c r="H51" i="58"/>
  <c r="G51" i="58"/>
  <c r="F51" i="58"/>
  <c r="E51" i="58"/>
  <c r="D51" i="58"/>
  <c r="K50" i="58"/>
  <c r="J50" i="58"/>
  <c r="H50" i="58"/>
  <c r="G50" i="58"/>
  <c r="F50" i="58"/>
  <c r="E50" i="58"/>
  <c r="D50" i="58"/>
  <c r="K49" i="58"/>
  <c r="J49" i="58"/>
  <c r="H49" i="58"/>
  <c r="G49" i="58"/>
  <c r="F49" i="58"/>
  <c r="E49" i="58"/>
  <c r="D49" i="58"/>
  <c r="K48" i="58"/>
  <c r="J48" i="58"/>
  <c r="H48" i="58"/>
  <c r="G48" i="58"/>
  <c r="F48" i="58"/>
  <c r="E48" i="58"/>
  <c r="D48" i="58"/>
  <c r="K47" i="58"/>
  <c r="J47" i="58"/>
  <c r="H47" i="58"/>
  <c r="G47" i="58"/>
  <c r="F47" i="58"/>
  <c r="E47" i="58"/>
  <c r="D47" i="58"/>
  <c r="K46" i="58"/>
  <c r="J46" i="58"/>
  <c r="H46" i="58"/>
  <c r="G46" i="58"/>
  <c r="F46" i="58"/>
  <c r="E46" i="58"/>
  <c r="D46" i="58"/>
  <c r="K45" i="58"/>
  <c r="J45" i="58"/>
  <c r="H45" i="58"/>
  <c r="G45" i="58"/>
  <c r="F45" i="58"/>
  <c r="E45" i="58"/>
  <c r="D45" i="58"/>
  <c r="K44" i="58"/>
  <c r="J44" i="58"/>
  <c r="H44" i="58"/>
  <c r="G44" i="58"/>
  <c r="F44" i="58"/>
  <c r="E44" i="58"/>
  <c r="D44" i="58"/>
  <c r="K43" i="58"/>
  <c r="J43" i="58"/>
  <c r="H43" i="58"/>
  <c r="G43" i="58"/>
  <c r="F43" i="58"/>
  <c r="E43" i="58"/>
  <c r="D43" i="58"/>
  <c r="K42" i="58"/>
  <c r="J42" i="58"/>
  <c r="H42" i="58"/>
  <c r="G42" i="58"/>
  <c r="F42" i="58"/>
  <c r="E42" i="58"/>
  <c r="D42" i="58"/>
  <c r="K41" i="58"/>
  <c r="J41" i="58"/>
  <c r="H41" i="58"/>
  <c r="G41" i="58"/>
  <c r="F41" i="58"/>
  <c r="E41" i="58"/>
  <c r="D41" i="58"/>
  <c r="K40" i="58"/>
  <c r="J40" i="58"/>
  <c r="H40" i="58"/>
  <c r="G40" i="58"/>
  <c r="F40" i="58"/>
  <c r="E40" i="58"/>
  <c r="D40" i="58"/>
  <c r="K39" i="58"/>
  <c r="J39" i="58"/>
  <c r="H39" i="58"/>
  <c r="G39" i="58"/>
  <c r="F39" i="58"/>
  <c r="E39" i="58"/>
  <c r="D39" i="58"/>
  <c r="K38" i="58"/>
  <c r="J38" i="58"/>
  <c r="H38" i="58"/>
  <c r="G38" i="58"/>
  <c r="F38" i="58"/>
  <c r="E38" i="58"/>
  <c r="D38" i="58"/>
  <c r="K31" i="58"/>
  <c r="H31" i="58"/>
  <c r="G31" i="58"/>
  <c r="F31" i="58"/>
  <c r="E31" i="58"/>
  <c r="D31" i="58"/>
  <c r="K30" i="58"/>
  <c r="J30" i="58"/>
  <c r="H30" i="58"/>
  <c r="G30" i="58"/>
  <c r="F30" i="58"/>
  <c r="E30" i="58"/>
  <c r="D30" i="58"/>
  <c r="K28" i="58"/>
  <c r="J28" i="58"/>
  <c r="H28" i="58"/>
  <c r="G28" i="58"/>
  <c r="F28" i="58"/>
  <c r="E28" i="58"/>
  <c r="D28" i="58"/>
  <c r="K27" i="58"/>
  <c r="J27" i="58"/>
  <c r="H27" i="58"/>
  <c r="G27" i="58"/>
  <c r="F27" i="58"/>
  <c r="E27" i="58"/>
  <c r="D27" i="58"/>
  <c r="K26" i="58"/>
  <c r="J26" i="58"/>
  <c r="H26" i="58"/>
  <c r="G26" i="58"/>
  <c r="F26" i="58"/>
  <c r="E26" i="58"/>
  <c r="D26" i="58"/>
  <c r="K25" i="58"/>
  <c r="J25" i="58"/>
  <c r="H25" i="58"/>
  <c r="G25" i="58"/>
  <c r="F25" i="58"/>
  <c r="E25" i="58"/>
  <c r="D25" i="58"/>
  <c r="K24" i="58"/>
  <c r="J24" i="58"/>
  <c r="H24" i="58"/>
  <c r="G24" i="58"/>
  <c r="F24" i="58"/>
  <c r="E24" i="58"/>
  <c r="D24" i="58"/>
  <c r="K23" i="58"/>
  <c r="J23" i="58"/>
  <c r="H23" i="58"/>
  <c r="G23" i="58"/>
  <c r="F23" i="58"/>
  <c r="E23" i="58"/>
  <c r="D23" i="58"/>
  <c r="K22" i="58"/>
  <c r="J22" i="58"/>
  <c r="H22" i="58"/>
  <c r="G22" i="58"/>
  <c r="F22" i="58"/>
  <c r="E22" i="58"/>
  <c r="D22" i="58"/>
  <c r="K21" i="58"/>
  <c r="J21" i="58"/>
  <c r="H21" i="58"/>
  <c r="G21" i="58"/>
  <c r="F21" i="58"/>
  <c r="E21" i="58"/>
  <c r="D21" i="58"/>
  <c r="K20" i="58"/>
  <c r="J20" i="58"/>
  <c r="H20" i="58"/>
  <c r="G20" i="58"/>
  <c r="F20" i="58"/>
  <c r="E20" i="58"/>
  <c r="D20" i="58"/>
  <c r="K19" i="58"/>
  <c r="J19" i="58"/>
  <c r="H19" i="58"/>
  <c r="G19" i="58"/>
  <c r="F19" i="58"/>
  <c r="E19" i="58"/>
  <c r="D19" i="58"/>
  <c r="K18" i="58"/>
  <c r="J18" i="58"/>
  <c r="H18" i="58"/>
  <c r="G18" i="58"/>
  <c r="F18" i="58"/>
  <c r="E18" i="58"/>
  <c r="D18" i="58"/>
  <c r="K17" i="58"/>
  <c r="O24" i="50" s="1"/>
  <c r="J17" i="58"/>
  <c r="H17" i="58"/>
  <c r="G17" i="58"/>
  <c r="F17" i="58"/>
  <c r="E17" i="58"/>
  <c r="D17" i="58"/>
  <c r="K16" i="58"/>
  <c r="J16" i="58"/>
  <c r="H16" i="58"/>
  <c r="G16" i="58"/>
  <c r="F16" i="58"/>
  <c r="E16" i="58"/>
  <c r="D16" i="58"/>
  <c r="K15" i="58"/>
  <c r="O22" i="50" s="1"/>
  <c r="J15" i="58"/>
  <c r="H15" i="58"/>
  <c r="G15" i="58"/>
  <c r="F15" i="58"/>
  <c r="E15" i="58"/>
  <c r="D15" i="58"/>
  <c r="K14" i="58"/>
  <c r="J14" i="58"/>
  <c r="H14" i="58"/>
  <c r="G14" i="58"/>
  <c r="F14" i="58"/>
  <c r="E14" i="58"/>
  <c r="D14" i="58"/>
  <c r="K13" i="58"/>
  <c r="J13" i="58"/>
  <c r="H13" i="58"/>
  <c r="G13" i="58"/>
  <c r="F13" i="58"/>
  <c r="E13" i="58"/>
  <c r="D13" i="58"/>
  <c r="K12" i="58"/>
  <c r="J12" i="58"/>
  <c r="H12" i="58"/>
  <c r="G12" i="58"/>
  <c r="F12" i="58"/>
  <c r="E12" i="58"/>
  <c r="D12" i="58"/>
  <c r="K11" i="58"/>
  <c r="J11" i="58"/>
  <c r="H11" i="58"/>
  <c r="G11" i="58"/>
  <c r="F11" i="58"/>
  <c r="E11" i="58"/>
  <c r="D11" i="58"/>
  <c r="K58" i="57"/>
  <c r="H58" i="57"/>
  <c r="G58" i="57"/>
  <c r="F58" i="57"/>
  <c r="E58" i="57"/>
  <c r="D58" i="57"/>
  <c r="K57" i="57"/>
  <c r="H57" i="57"/>
  <c r="G57" i="57"/>
  <c r="F57" i="57"/>
  <c r="E57" i="57"/>
  <c r="D57" i="57"/>
  <c r="K55" i="57"/>
  <c r="J55" i="57"/>
  <c r="H55" i="57"/>
  <c r="G55" i="57"/>
  <c r="F55" i="57"/>
  <c r="E55" i="57"/>
  <c r="D55" i="57"/>
  <c r="K54" i="57"/>
  <c r="J54" i="57"/>
  <c r="H54" i="57"/>
  <c r="G54" i="57"/>
  <c r="F54" i="57"/>
  <c r="E54" i="57"/>
  <c r="D54" i="57"/>
  <c r="K53" i="57"/>
  <c r="J53" i="57"/>
  <c r="H53" i="57"/>
  <c r="G53" i="57"/>
  <c r="F53" i="57"/>
  <c r="E53" i="57"/>
  <c r="D53" i="57"/>
  <c r="K52" i="57"/>
  <c r="J52" i="57"/>
  <c r="H52" i="57"/>
  <c r="G52" i="57"/>
  <c r="F52" i="57"/>
  <c r="E52" i="57"/>
  <c r="D52" i="57"/>
  <c r="K51" i="57"/>
  <c r="J51" i="57"/>
  <c r="H51" i="57"/>
  <c r="G51" i="57"/>
  <c r="F51" i="57"/>
  <c r="E51" i="57"/>
  <c r="D51" i="57"/>
  <c r="K50" i="57"/>
  <c r="J50" i="57"/>
  <c r="H50" i="57"/>
  <c r="G50" i="57"/>
  <c r="F50" i="57"/>
  <c r="E50" i="57"/>
  <c r="D50" i="57"/>
  <c r="K49" i="57"/>
  <c r="J49" i="57"/>
  <c r="H49" i="57"/>
  <c r="G49" i="57"/>
  <c r="F49" i="57"/>
  <c r="E49" i="57"/>
  <c r="D49" i="57"/>
  <c r="K48" i="57"/>
  <c r="J48" i="57"/>
  <c r="H48" i="57"/>
  <c r="G48" i="57"/>
  <c r="F48" i="57"/>
  <c r="E48" i="57"/>
  <c r="D48" i="57"/>
  <c r="K47" i="57"/>
  <c r="J47" i="57"/>
  <c r="H47" i="57"/>
  <c r="G47" i="57"/>
  <c r="F47" i="57"/>
  <c r="E47" i="57"/>
  <c r="D47" i="57"/>
  <c r="K46" i="57"/>
  <c r="J46" i="57"/>
  <c r="H46" i="57"/>
  <c r="G46" i="57"/>
  <c r="F46" i="57"/>
  <c r="E46" i="57"/>
  <c r="D46" i="57"/>
  <c r="K45" i="57"/>
  <c r="J45" i="57"/>
  <c r="H45" i="57"/>
  <c r="G45" i="57"/>
  <c r="F45" i="57"/>
  <c r="E45" i="57"/>
  <c r="D45" i="57"/>
  <c r="K44" i="57"/>
  <c r="J44" i="57"/>
  <c r="H44" i="57"/>
  <c r="G44" i="57"/>
  <c r="F44" i="57"/>
  <c r="E44" i="57"/>
  <c r="D44" i="57"/>
  <c r="K43" i="57"/>
  <c r="J43" i="57"/>
  <c r="H43" i="57"/>
  <c r="G43" i="57"/>
  <c r="F43" i="57"/>
  <c r="E43" i="57"/>
  <c r="D43" i="57"/>
  <c r="K42" i="57"/>
  <c r="J42" i="57"/>
  <c r="H42" i="57"/>
  <c r="G42" i="57"/>
  <c r="F42" i="57"/>
  <c r="E42" i="57"/>
  <c r="D42" i="57"/>
  <c r="K41" i="57"/>
  <c r="J41" i="57"/>
  <c r="H41" i="57"/>
  <c r="G41" i="57"/>
  <c r="F41" i="57"/>
  <c r="E41" i="57"/>
  <c r="D41" i="57"/>
  <c r="K40" i="57"/>
  <c r="J40" i="57"/>
  <c r="H40" i="57"/>
  <c r="G40" i="57"/>
  <c r="F40" i="57"/>
  <c r="E40" i="57"/>
  <c r="D40" i="57"/>
  <c r="K39" i="57"/>
  <c r="J39" i="57"/>
  <c r="H39" i="57"/>
  <c r="G39" i="57"/>
  <c r="F39" i="57"/>
  <c r="E39" i="57"/>
  <c r="D39" i="57"/>
  <c r="K38" i="57"/>
  <c r="J38" i="57"/>
  <c r="H38" i="57"/>
  <c r="G38" i="57"/>
  <c r="F38" i="57"/>
  <c r="E38" i="57"/>
  <c r="D38" i="57"/>
  <c r="K31" i="57"/>
  <c r="H31" i="57"/>
  <c r="G31" i="57"/>
  <c r="F31" i="57"/>
  <c r="E31" i="57"/>
  <c r="D31" i="57"/>
  <c r="K30" i="57"/>
  <c r="J30" i="57"/>
  <c r="H30" i="57"/>
  <c r="G30" i="57"/>
  <c r="F30" i="57"/>
  <c r="E30" i="57"/>
  <c r="D30" i="57"/>
  <c r="K28" i="57"/>
  <c r="J28" i="57"/>
  <c r="H28" i="57"/>
  <c r="G28" i="57"/>
  <c r="F28" i="57"/>
  <c r="E28" i="57"/>
  <c r="D28" i="57"/>
  <c r="K27" i="57"/>
  <c r="J27" i="57"/>
  <c r="H27" i="57"/>
  <c r="G27" i="57"/>
  <c r="F27" i="57"/>
  <c r="E27" i="57"/>
  <c r="D27" i="57"/>
  <c r="K26" i="57"/>
  <c r="J26" i="57"/>
  <c r="H26" i="57"/>
  <c r="G26" i="57"/>
  <c r="F26" i="57"/>
  <c r="E26" i="57"/>
  <c r="D26" i="57"/>
  <c r="K25" i="57"/>
  <c r="J25" i="57"/>
  <c r="H25" i="57"/>
  <c r="G25" i="57"/>
  <c r="F25" i="57"/>
  <c r="E25" i="57"/>
  <c r="D25" i="57"/>
  <c r="K24" i="57"/>
  <c r="J24" i="57"/>
  <c r="H24" i="57"/>
  <c r="G24" i="57"/>
  <c r="F24" i="57"/>
  <c r="E24" i="57"/>
  <c r="D24" i="57"/>
  <c r="K23" i="57"/>
  <c r="J23" i="57"/>
  <c r="H23" i="57"/>
  <c r="G23" i="57"/>
  <c r="F23" i="57"/>
  <c r="E23" i="57"/>
  <c r="D23" i="57"/>
  <c r="K22" i="57"/>
  <c r="J22" i="57"/>
  <c r="H22" i="57"/>
  <c r="G22" i="57"/>
  <c r="F22" i="57"/>
  <c r="E22" i="57"/>
  <c r="D22" i="57"/>
  <c r="K21" i="57"/>
  <c r="J21" i="57"/>
  <c r="H21" i="57"/>
  <c r="G21" i="57"/>
  <c r="F21" i="57"/>
  <c r="E21" i="57"/>
  <c r="D21" i="57"/>
  <c r="K20" i="57"/>
  <c r="J20" i="57"/>
  <c r="H20" i="57"/>
  <c r="G20" i="57"/>
  <c r="F20" i="57"/>
  <c r="E20" i="57"/>
  <c r="D20" i="57"/>
  <c r="K19" i="57"/>
  <c r="J19" i="57"/>
  <c r="H19" i="57"/>
  <c r="G19" i="57"/>
  <c r="F19" i="57"/>
  <c r="E19" i="57"/>
  <c r="D19" i="57"/>
  <c r="K18" i="57"/>
  <c r="J18" i="57"/>
  <c r="H18" i="57"/>
  <c r="G18" i="57"/>
  <c r="F18" i="57"/>
  <c r="E18" i="57"/>
  <c r="D18" i="57"/>
  <c r="K17" i="57"/>
  <c r="J17" i="57"/>
  <c r="H17" i="57"/>
  <c r="G17" i="57"/>
  <c r="F17" i="57"/>
  <c r="E17" i="57"/>
  <c r="D17" i="57"/>
  <c r="K16" i="57"/>
  <c r="J16" i="57"/>
  <c r="H16" i="57"/>
  <c r="G16" i="57"/>
  <c r="F16" i="57"/>
  <c r="E16" i="57"/>
  <c r="D16" i="57"/>
  <c r="K15" i="57"/>
  <c r="J15" i="57"/>
  <c r="H15" i="57"/>
  <c r="G15" i="57"/>
  <c r="F15" i="57"/>
  <c r="E15" i="57"/>
  <c r="D15" i="57"/>
  <c r="K14" i="57"/>
  <c r="J14" i="57"/>
  <c r="H14" i="57"/>
  <c r="G14" i="57"/>
  <c r="F14" i="57"/>
  <c r="E14" i="57"/>
  <c r="D14" i="57"/>
  <c r="K13" i="57"/>
  <c r="J13" i="57"/>
  <c r="H13" i="57"/>
  <c r="G13" i="57"/>
  <c r="F13" i="57"/>
  <c r="E13" i="57"/>
  <c r="D13" i="57"/>
  <c r="K12" i="57"/>
  <c r="N19" i="50" s="1"/>
  <c r="J12" i="57"/>
  <c r="H12" i="57"/>
  <c r="G12" i="57"/>
  <c r="F12" i="57"/>
  <c r="E12" i="57"/>
  <c r="D12" i="57"/>
  <c r="K11" i="57"/>
  <c r="J11" i="57"/>
  <c r="H11" i="57"/>
  <c r="G11" i="57"/>
  <c r="F11" i="57"/>
  <c r="E11" i="57"/>
  <c r="D11" i="57"/>
  <c r="K58" i="56"/>
  <c r="H58" i="56"/>
  <c r="G58" i="56"/>
  <c r="F58" i="56"/>
  <c r="E58" i="56"/>
  <c r="D58" i="56"/>
  <c r="K57" i="56"/>
  <c r="H57" i="56"/>
  <c r="G57" i="56"/>
  <c r="F57" i="56"/>
  <c r="E57" i="56"/>
  <c r="D57" i="56"/>
  <c r="K55" i="56"/>
  <c r="H55" i="56"/>
  <c r="G55" i="56"/>
  <c r="F55" i="56"/>
  <c r="E55" i="56"/>
  <c r="D55" i="56"/>
  <c r="K54" i="56"/>
  <c r="H54" i="56"/>
  <c r="G54" i="56"/>
  <c r="F54" i="56"/>
  <c r="E54" i="56"/>
  <c r="D54" i="56"/>
  <c r="K53" i="56"/>
  <c r="H53" i="56"/>
  <c r="G53" i="56"/>
  <c r="F53" i="56"/>
  <c r="E53" i="56"/>
  <c r="D53" i="56"/>
  <c r="K52" i="56"/>
  <c r="H52" i="56"/>
  <c r="G52" i="56"/>
  <c r="F52" i="56"/>
  <c r="E52" i="56"/>
  <c r="D52" i="56"/>
  <c r="K51" i="56"/>
  <c r="H51" i="56"/>
  <c r="G51" i="56"/>
  <c r="F51" i="56"/>
  <c r="E51" i="56"/>
  <c r="D51" i="56"/>
  <c r="K50" i="56"/>
  <c r="H50" i="56"/>
  <c r="G50" i="56"/>
  <c r="F50" i="56"/>
  <c r="E50" i="56"/>
  <c r="D50" i="56"/>
  <c r="K49" i="56"/>
  <c r="H49" i="56"/>
  <c r="G49" i="56"/>
  <c r="F49" i="56"/>
  <c r="E49" i="56"/>
  <c r="D49" i="56"/>
  <c r="K48" i="56"/>
  <c r="H48" i="56"/>
  <c r="G48" i="56"/>
  <c r="F48" i="56"/>
  <c r="E48" i="56"/>
  <c r="D48" i="56"/>
  <c r="K47" i="56"/>
  <c r="H47" i="56"/>
  <c r="G47" i="56"/>
  <c r="F47" i="56"/>
  <c r="E47" i="56"/>
  <c r="D47" i="56"/>
  <c r="K46" i="56"/>
  <c r="H46" i="56"/>
  <c r="G46" i="56"/>
  <c r="F46" i="56"/>
  <c r="E46" i="56"/>
  <c r="D46" i="56"/>
  <c r="K45" i="56"/>
  <c r="H45" i="56"/>
  <c r="G45" i="56"/>
  <c r="F45" i="56"/>
  <c r="E45" i="56"/>
  <c r="D45" i="56"/>
  <c r="K44" i="56"/>
  <c r="H44" i="56"/>
  <c r="G44" i="56"/>
  <c r="F44" i="56"/>
  <c r="E44" i="56"/>
  <c r="D44" i="56"/>
  <c r="K43" i="56"/>
  <c r="H43" i="56"/>
  <c r="G43" i="56"/>
  <c r="F43" i="56"/>
  <c r="E43" i="56"/>
  <c r="D43" i="56"/>
  <c r="K42" i="56"/>
  <c r="H42" i="56"/>
  <c r="G42" i="56"/>
  <c r="F42" i="56"/>
  <c r="E42" i="56"/>
  <c r="D42" i="56"/>
  <c r="K41" i="56"/>
  <c r="H41" i="56"/>
  <c r="G41" i="56"/>
  <c r="F41" i="56"/>
  <c r="E41" i="56"/>
  <c r="D41" i="56"/>
  <c r="K40" i="56"/>
  <c r="H40" i="56"/>
  <c r="G40" i="56"/>
  <c r="F40" i="56"/>
  <c r="E40" i="56"/>
  <c r="D40" i="56"/>
  <c r="K39" i="56"/>
  <c r="H39" i="56"/>
  <c r="G39" i="56"/>
  <c r="F39" i="56"/>
  <c r="E39" i="56"/>
  <c r="D39" i="56"/>
  <c r="K38" i="56"/>
  <c r="H38" i="56"/>
  <c r="G38" i="56"/>
  <c r="F38" i="56"/>
  <c r="E38" i="56"/>
  <c r="D38" i="56"/>
  <c r="K31" i="56"/>
  <c r="H31" i="56"/>
  <c r="G31" i="56"/>
  <c r="F31" i="56"/>
  <c r="E31" i="56"/>
  <c r="D31" i="56"/>
  <c r="K30" i="56"/>
  <c r="H30" i="56"/>
  <c r="G30" i="56"/>
  <c r="F30" i="56"/>
  <c r="E30" i="56"/>
  <c r="D30" i="56"/>
  <c r="K28" i="56"/>
  <c r="H28" i="56"/>
  <c r="G28" i="56"/>
  <c r="F28" i="56"/>
  <c r="E28" i="56"/>
  <c r="D28" i="56"/>
  <c r="K27" i="56"/>
  <c r="H27" i="56"/>
  <c r="G27" i="56"/>
  <c r="F27" i="56"/>
  <c r="E27" i="56"/>
  <c r="D27" i="56"/>
  <c r="K26" i="56"/>
  <c r="H26" i="56"/>
  <c r="G26" i="56"/>
  <c r="F26" i="56"/>
  <c r="E26" i="56"/>
  <c r="D26" i="56"/>
  <c r="K25" i="56"/>
  <c r="H25" i="56"/>
  <c r="G25" i="56"/>
  <c r="F25" i="56"/>
  <c r="E25" i="56"/>
  <c r="D25" i="56"/>
  <c r="K24" i="56"/>
  <c r="H24" i="56"/>
  <c r="G24" i="56"/>
  <c r="F24" i="56"/>
  <c r="E24" i="56"/>
  <c r="D24" i="56"/>
  <c r="K23" i="56"/>
  <c r="H23" i="56"/>
  <c r="G23" i="56"/>
  <c r="F23" i="56"/>
  <c r="E23" i="56"/>
  <c r="D23" i="56"/>
  <c r="K22" i="56"/>
  <c r="H22" i="56"/>
  <c r="G22" i="56"/>
  <c r="F22" i="56"/>
  <c r="E22" i="56"/>
  <c r="D22" i="56"/>
  <c r="K21" i="56"/>
  <c r="H21" i="56"/>
  <c r="G21" i="56"/>
  <c r="F21" i="56"/>
  <c r="E21" i="56"/>
  <c r="D21" i="56"/>
  <c r="K20" i="56"/>
  <c r="H20" i="56"/>
  <c r="G20" i="56"/>
  <c r="F20" i="56"/>
  <c r="E20" i="56"/>
  <c r="D20" i="56"/>
  <c r="K19" i="56"/>
  <c r="M26" i="50" s="1"/>
  <c r="H19" i="56"/>
  <c r="G19" i="56"/>
  <c r="F19" i="56"/>
  <c r="E19" i="56"/>
  <c r="D19" i="56"/>
  <c r="K18" i="56"/>
  <c r="M25" i="50" s="1"/>
  <c r="H18" i="56"/>
  <c r="G18" i="56"/>
  <c r="F18" i="56"/>
  <c r="E18" i="56"/>
  <c r="D18" i="56"/>
  <c r="K17" i="56"/>
  <c r="M24" i="50" s="1"/>
  <c r="H17" i="56"/>
  <c r="G17" i="56"/>
  <c r="F17" i="56"/>
  <c r="E17" i="56"/>
  <c r="D17" i="56"/>
  <c r="K16" i="56"/>
  <c r="M23" i="50" s="1"/>
  <c r="H16" i="56"/>
  <c r="G16" i="56"/>
  <c r="F16" i="56"/>
  <c r="E16" i="56"/>
  <c r="D16" i="56"/>
  <c r="K15" i="56"/>
  <c r="M22" i="50" s="1"/>
  <c r="H15" i="56"/>
  <c r="G15" i="56"/>
  <c r="F15" i="56"/>
  <c r="E15" i="56"/>
  <c r="D15" i="56"/>
  <c r="K14" i="56"/>
  <c r="M21" i="50" s="1"/>
  <c r="H14" i="56"/>
  <c r="G14" i="56"/>
  <c r="F14" i="56"/>
  <c r="E14" i="56"/>
  <c r="D14" i="56"/>
  <c r="K13" i="56"/>
  <c r="M20" i="50" s="1"/>
  <c r="H13" i="56"/>
  <c r="G13" i="56"/>
  <c r="F13" i="56"/>
  <c r="E13" i="56"/>
  <c r="D13" i="56"/>
  <c r="K12" i="56"/>
  <c r="M19" i="50" s="1"/>
  <c r="H12" i="56"/>
  <c r="G12" i="56"/>
  <c r="F12" i="56"/>
  <c r="E12" i="56"/>
  <c r="D12" i="56"/>
  <c r="K11" i="56"/>
  <c r="M18" i="50" s="1"/>
  <c r="H11" i="56"/>
  <c r="G11" i="56"/>
  <c r="F11" i="56"/>
  <c r="E11" i="56"/>
  <c r="D11" i="56"/>
  <c r="K58" i="55"/>
  <c r="K57" i="55"/>
  <c r="K55" i="55"/>
  <c r="K54" i="55"/>
  <c r="K53" i="55"/>
  <c r="K52" i="55"/>
  <c r="K51" i="55"/>
  <c r="K50" i="55"/>
  <c r="K49" i="55"/>
  <c r="K48" i="55"/>
  <c r="K47" i="55"/>
  <c r="K46" i="55"/>
  <c r="K45" i="55"/>
  <c r="K44" i="55"/>
  <c r="K43" i="55"/>
  <c r="K42" i="55"/>
  <c r="K41" i="55"/>
  <c r="K40" i="55"/>
  <c r="K39" i="55"/>
  <c r="K38" i="55"/>
  <c r="K31" i="55"/>
  <c r="K30" i="55"/>
  <c r="K28" i="55"/>
  <c r="K27" i="55"/>
  <c r="K26" i="55"/>
  <c r="K25" i="55"/>
  <c r="K24" i="55"/>
  <c r="K23" i="55"/>
  <c r="K22" i="55"/>
  <c r="K21" i="55"/>
  <c r="K20" i="55"/>
  <c r="K19" i="55"/>
  <c r="K18" i="55"/>
  <c r="K17" i="55"/>
  <c r="K16" i="55"/>
  <c r="K15" i="55"/>
  <c r="K14" i="55"/>
  <c r="K13" i="55"/>
  <c r="K12" i="55"/>
  <c r="K11" i="55"/>
  <c r="J40" i="54"/>
  <c r="J32" i="54"/>
  <c r="J11" i="54"/>
  <c r="H58" i="55"/>
  <c r="G58" i="55"/>
  <c r="E58" i="55"/>
  <c r="D58" i="55"/>
  <c r="H57" i="55"/>
  <c r="G57" i="55"/>
  <c r="E57" i="55"/>
  <c r="D57" i="55"/>
  <c r="H55" i="55"/>
  <c r="G55" i="55"/>
  <c r="F55" i="55"/>
  <c r="E55" i="55"/>
  <c r="D55" i="55"/>
  <c r="H54" i="55"/>
  <c r="G54" i="55"/>
  <c r="F54" i="55"/>
  <c r="E54" i="55"/>
  <c r="D54" i="55"/>
  <c r="H53" i="55"/>
  <c r="G53" i="55"/>
  <c r="F53" i="55"/>
  <c r="E53" i="55"/>
  <c r="D53" i="55"/>
  <c r="H52" i="55"/>
  <c r="G52" i="55"/>
  <c r="F52" i="55"/>
  <c r="E52" i="55"/>
  <c r="D52" i="55"/>
  <c r="H51" i="55"/>
  <c r="G51" i="55"/>
  <c r="F51" i="55"/>
  <c r="E51" i="55"/>
  <c r="D51" i="55"/>
  <c r="H50" i="55"/>
  <c r="G50" i="55"/>
  <c r="F50" i="55"/>
  <c r="E50" i="55"/>
  <c r="D50" i="55"/>
  <c r="H49" i="55"/>
  <c r="G49" i="55"/>
  <c r="F49" i="55"/>
  <c r="E49" i="55"/>
  <c r="D49" i="55"/>
  <c r="H48" i="55"/>
  <c r="G48" i="55"/>
  <c r="F48" i="55"/>
  <c r="E48" i="55"/>
  <c r="D48" i="55"/>
  <c r="H47" i="55"/>
  <c r="G47" i="55"/>
  <c r="F47" i="55"/>
  <c r="E47" i="55"/>
  <c r="D47" i="55"/>
  <c r="H46" i="55"/>
  <c r="G46" i="55"/>
  <c r="F46" i="55"/>
  <c r="E46" i="55"/>
  <c r="D46" i="55"/>
  <c r="H45" i="55"/>
  <c r="G45" i="55"/>
  <c r="F45" i="55"/>
  <c r="E45" i="55"/>
  <c r="D45" i="55"/>
  <c r="H44" i="55"/>
  <c r="G44" i="55"/>
  <c r="F44" i="55"/>
  <c r="E44" i="55"/>
  <c r="D44" i="55"/>
  <c r="H43" i="55"/>
  <c r="G43" i="55"/>
  <c r="F43" i="55"/>
  <c r="E43" i="55"/>
  <c r="D43" i="55"/>
  <c r="H42" i="55"/>
  <c r="G42" i="55"/>
  <c r="F42" i="55"/>
  <c r="E42" i="55"/>
  <c r="D42" i="55"/>
  <c r="H41" i="55"/>
  <c r="G41" i="55"/>
  <c r="F41" i="55"/>
  <c r="E41" i="55"/>
  <c r="D41" i="55"/>
  <c r="H40" i="55"/>
  <c r="G40" i="55"/>
  <c r="F40" i="55"/>
  <c r="E40" i="55"/>
  <c r="D40" i="55"/>
  <c r="H39" i="55"/>
  <c r="G39" i="55"/>
  <c r="F39" i="55"/>
  <c r="E39" i="55"/>
  <c r="D39" i="55"/>
  <c r="H38" i="55"/>
  <c r="G38" i="55"/>
  <c r="F38" i="55"/>
  <c r="E38" i="55"/>
  <c r="D38" i="55"/>
  <c r="H28" i="55"/>
  <c r="G28" i="55"/>
  <c r="F28" i="55"/>
  <c r="E28" i="55"/>
  <c r="D28" i="55"/>
  <c r="H27" i="55"/>
  <c r="G27" i="55"/>
  <c r="F27" i="55"/>
  <c r="E27" i="55"/>
  <c r="D27" i="55"/>
  <c r="H26" i="55"/>
  <c r="G26" i="55"/>
  <c r="F26" i="55"/>
  <c r="E26" i="55"/>
  <c r="D26" i="55"/>
  <c r="H25" i="55"/>
  <c r="G25" i="55"/>
  <c r="F25" i="55"/>
  <c r="E25" i="55"/>
  <c r="D25" i="55"/>
  <c r="H24" i="55"/>
  <c r="G24" i="55"/>
  <c r="F24" i="55"/>
  <c r="E24" i="55"/>
  <c r="D24" i="55"/>
  <c r="H23" i="55"/>
  <c r="G23" i="55"/>
  <c r="F23" i="55"/>
  <c r="E23" i="55"/>
  <c r="D23" i="55"/>
  <c r="H22" i="55"/>
  <c r="G22" i="55"/>
  <c r="F22" i="55"/>
  <c r="E22" i="55"/>
  <c r="D22" i="55"/>
  <c r="H21" i="55"/>
  <c r="G21" i="55"/>
  <c r="F21" i="55"/>
  <c r="E21" i="55"/>
  <c r="D21" i="55"/>
  <c r="H20" i="55"/>
  <c r="G20" i="55"/>
  <c r="F20" i="55"/>
  <c r="E20" i="55"/>
  <c r="D20" i="55"/>
  <c r="H19" i="55"/>
  <c r="G19" i="55"/>
  <c r="F19" i="55"/>
  <c r="E19" i="55"/>
  <c r="D19" i="55"/>
  <c r="H18" i="55"/>
  <c r="G18" i="55"/>
  <c r="F18" i="55"/>
  <c r="E18" i="55"/>
  <c r="D18" i="55"/>
  <c r="H17" i="55"/>
  <c r="G17" i="55"/>
  <c r="F17" i="55"/>
  <c r="E17" i="55"/>
  <c r="D17" i="55"/>
  <c r="H16" i="55"/>
  <c r="G16" i="55"/>
  <c r="F16" i="55"/>
  <c r="E16" i="55"/>
  <c r="D16" i="55"/>
  <c r="H15" i="55"/>
  <c r="G15" i="55"/>
  <c r="F15" i="55"/>
  <c r="E15" i="55"/>
  <c r="D15" i="55"/>
  <c r="H14" i="55"/>
  <c r="G14" i="55"/>
  <c r="F14" i="55"/>
  <c r="E14" i="55"/>
  <c r="D14" i="55"/>
  <c r="H13" i="55"/>
  <c r="G13" i="55"/>
  <c r="F13" i="55"/>
  <c r="E13" i="55"/>
  <c r="D13" i="55"/>
  <c r="H12" i="55"/>
  <c r="G12" i="55"/>
  <c r="F12" i="55"/>
  <c r="E12" i="55"/>
  <c r="D12" i="55"/>
  <c r="H11" i="55"/>
  <c r="G11" i="55"/>
  <c r="F11" i="55"/>
  <c r="E11" i="55"/>
  <c r="D11" i="55"/>
  <c r="K62" i="54"/>
  <c r="K40" i="50" s="1"/>
  <c r="K61" i="54"/>
  <c r="K32" i="54"/>
  <c r="K39" i="50" s="1"/>
  <c r="K106" i="54"/>
  <c r="J106" i="54"/>
  <c r="J107" i="54" s="1"/>
  <c r="H106" i="54"/>
  <c r="H107" i="54" s="1"/>
  <c r="G106" i="54"/>
  <c r="G107" i="54" s="1"/>
  <c r="F106" i="54"/>
  <c r="F107" i="54" s="1"/>
  <c r="E106" i="54"/>
  <c r="E107" i="54" s="1"/>
  <c r="D106" i="54"/>
  <c r="D107" i="54" s="1"/>
  <c r="K40" i="54"/>
  <c r="H40" i="54"/>
  <c r="G40" i="54"/>
  <c r="F40" i="54"/>
  <c r="E40" i="54"/>
  <c r="AE29" i="50"/>
  <c r="AE28" i="50"/>
  <c r="AE27" i="50"/>
  <c r="AE25" i="50"/>
  <c r="AE24" i="50"/>
  <c r="AE23" i="50"/>
  <c r="AE22" i="50"/>
  <c r="AE21" i="50"/>
  <c r="AE20" i="50"/>
  <c r="AE19" i="50"/>
  <c r="AE7" i="50" s="1"/>
  <c r="K11" i="54"/>
  <c r="H11" i="54"/>
  <c r="H31" i="54" s="1"/>
  <c r="H34" i="54" s="1"/>
  <c r="G11" i="54"/>
  <c r="G31" i="54" s="1"/>
  <c r="G34" i="54" s="1"/>
  <c r="F11" i="54"/>
  <c r="F31" i="54" s="1"/>
  <c r="F34" i="54" s="1"/>
  <c r="E11" i="54"/>
  <c r="E31" i="54" s="1"/>
  <c r="E34" i="54" s="1"/>
  <c r="D11" i="54"/>
  <c r="D31" i="54" s="1"/>
  <c r="D34" i="54" s="1"/>
  <c r="P25" i="50" l="1"/>
  <c r="N21" i="50"/>
  <c r="N29" i="50"/>
  <c r="L25" i="50"/>
  <c r="M31" i="50"/>
  <c r="O25" i="50"/>
  <c r="N22" i="50"/>
  <c r="AF36" i="50"/>
  <c r="AH35" i="50"/>
  <c r="AF37" i="50"/>
  <c r="AH36" i="50"/>
  <c r="AG37" i="50"/>
  <c r="AG36" i="50"/>
  <c r="AI36" i="50"/>
  <c r="AI37" i="50"/>
  <c r="AH37" i="50"/>
  <c r="AJ36" i="50"/>
  <c r="AJ37" i="50"/>
  <c r="K29" i="58"/>
  <c r="D29" i="58"/>
  <c r="H29" i="58"/>
  <c r="K107" i="54"/>
  <c r="K13" i="50" s="1"/>
  <c r="C30" i="27"/>
  <c r="C31" i="27" s="1"/>
  <c r="C32" i="27" s="1"/>
  <c r="D61" i="53"/>
  <c r="J62" i="53"/>
  <c r="D62" i="53"/>
  <c r="K62" i="53"/>
  <c r="N39" i="50"/>
  <c r="E61" i="53"/>
  <c r="E62" i="53"/>
  <c r="F61" i="53"/>
  <c r="F62" i="53"/>
  <c r="P40" i="50"/>
  <c r="J33" i="53"/>
  <c r="D33" i="53"/>
  <c r="G61" i="53"/>
  <c r="G62" i="53"/>
  <c r="AF35" i="50"/>
  <c r="E11" i="53"/>
  <c r="E32" i="53"/>
  <c r="E33" i="53"/>
  <c r="K61" i="53"/>
  <c r="H61" i="53"/>
  <c r="H62" i="53"/>
  <c r="L40" i="50"/>
  <c r="F32" i="53"/>
  <c r="F33" i="53"/>
  <c r="G32" i="53"/>
  <c r="G33" i="53"/>
  <c r="N40" i="50"/>
  <c r="P37" i="50"/>
  <c r="H32" i="53"/>
  <c r="H33" i="53"/>
  <c r="K33" i="53"/>
  <c r="I42" i="51" s="1"/>
  <c r="F101" i="51" s="1"/>
  <c r="N31" i="50"/>
  <c r="P21" i="50"/>
  <c r="P29" i="50"/>
  <c r="N30" i="50"/>
  <c r="AJ35" i="50"/>
  <c r="K18" i="50"/>
  <c r="K38" i="50" s="1"/>
  <c r="L23" i="50"/>
  <c r="N24" i="50"/>
  <c r="O19" i="50"/>
  <c r="O7" i="50" s="1"/>
  <c r="P22" i="50"/>
  <c r="P30" i="50"/>
  <c r="AG35" i="50"/>
  <c r="AI35" i="50"/>
  <c r="P20" i="50"/>
  <c r="P28" i="50"/>
  <c r="L18" i="50"/>
  <c r="L26" i="50"/>
  <c r="P19" i="50"/>
  <c r="P7" i="50" s="1"/>
  <c r="P27" i="50"/>
  <c r="L19" i="50"/>
  <c r="L7" i="50" s="1"/>
  <c r="M30" i="50"/>
  <c r="N20" i="50"/>
  <c r="O23" i="50"/>
  <c r="P18" i="50"/>
  <c r="P26" i="50"/>
  <c r="L20" i="50"/>
  <c r="O31" i="50"/>
  <c r="L39" i="50"/>
  <c r="N37" i="50"/>
  <c r="M40" i="50"/>
  <c r="K56" i="57"/>
  <c r="K59" i="57" s="1"/>
  <c r="O39" i="50"/>
  <c r="M39" i="50"/>
  <c r="O37" i="50"/>
  <c r="P39" i="50"/>
  <c r="P10" i="50" s="1"/>
  <c r="M37" i="50"/>
  <c r="L37" i="50"/>
  <c r="O40" i="50"/>
  <c r="L24" i="50"/>
  <c r="N23" i="50"/>
  <c r="O18" i="50"/>
  <c r="O26" i="50"/>
  <c r="L29" i="50"/>
  <c r="L30" i="50"/>
  <c r="L21" i="50"/>
  <c r="L31" i="50"/>
  <c r="M29" i="50"/>
  <c r="N18" i="50"/>
  <c r="N26" i="50"/>
  <c r="O21" i="50"/>
  <c r="P24" i="50"/>
  <c r="N25" i="50"/>
  <c r="O20" i="50"/>
  <c r="O30" i="50"/>
  <c r="P23" i="50"/>
  <c r="P31" i="50"/>
  <c r="L22" i="50"/>
  <c r="O29" i="50"/>
  <c r="J56" i="57"/>
  <c r="J59" i="57" s="1"/>
  <c r="J61" i="53"/>
  <c r="J56" i="58"/>
  <c r="J59" i="58" s="1"/>
  <c r="K56" i="58"/>
  <c r="K59" i="58" s="1"/>
  <c r="J59" i="59"/>
  <c r="J62" i="59" s="1"/>
  <c r="K56" i="56"/>
  <c r="K59" i="56" s="1"/>
  <c r="K59" i="59"/>
  <c r="D58" i="53"/>
  <c r="D57" i="53"/>
  <c r="J58" i="53"/>
  <c r="J57" i="53"/>
  <c r="K58" i="53"/>
  <c r="K57" i="53"/>
  <c r="D52" i="53"/>
  <c r="J59" i="53"/>
  <c r="J51" i="53"/>
  <c r="K47" i="53"/>
  <c r="D44" i="53"/>
  <c r="D41" i="53"/>
  <c r="J43" i="53"/>
  <c r="K59" i="53"/>
  <c r="K56" i="53"/>
  <c r="D47" i="53"/>
  <c r="J48" i="53"/>
  <c r="J46" i="53"/>
  <c r="D50" i="53"/>
  <c r="K41" i="53"/>
  <c r="J55" i="53"/>
  <c r="J50" i="53"/>
  <c r="D42" i="53"/>
  <c r="K51" i="53"/>
  <c r="J45" i="53"/>
  <c r="J49" i="53"/>
  <c r="K43" i="53"/>
  <c r="J41" i="53"/>
  <c r="D54" i="53"/>
  <c r="D49" i="53"/>
  <c r="K44" i="53"/>
  <c r="K55" i="53"/>
  <c r="D59" i="53"/>
  <c r="D56" i="53"/>
  <c r="K48" i="53"/>
  <c r="K46" i="53"/>
  <c r="K49" i="53"/>
  <c r="K52" i="53"/>
  <c r="D53" i="53"/>
  <c r="K50" i="53"/>
  <c r="J54" i="53"/>
  <c r="K45" i="53"/>
  <c r="D48" i="53"/>
  <c r="D46" i="53"/>
  <c r="D43" i="53"/>
  <c r="J47" i="53"/>
  <c r="K53" i="53"/>
  <c r="J52" i="53"/>
  <c r="D55" i="53"/>
  <c r="J42" i="53"/>
  <c r="K54" i="53"/>
  <c r="D51" i="53"/>
  <c r="D45" i="53"/>
  <c r="J44" i="53"/>
  <c r="J53" i="53"/>
  <c r="J56" i="53"/>
  <c r="K42" i="53"/>
  <c r="E58" i="53"/>
  <c r="E57" i="53"/>
  <c r="E53" i="53"/>
  <c r="E51" i="53"/>
  <c r="E56" i="53"/>
  <c r="E59" i="53"/>
  <c r="E47" i="53"/>
  <c r="E45" i="53"/>
  <c r="E43" i="53"/>
  <c r="E55" i="53"/>
  <c r="E41" i="53"/>
  <c r="E50" i="53"/>
  <c r="E52" i="53"/>
  <c r="E44" i="53"/>
  <c r="E42" i="53"/>
  <c r="E54" i="53"/>
  <c r="E48" i="53"/>
  <c r="E49" i="53"/>
  <c r="E46" i="53"/>
  <c r="G58" i="53"/>
  <c r="G57" i="53"/>
  <c r="G53" i="53"/>
  <c r="G51" i="53"/>
  <c r="G56" i="53"/>
  <c r="G42" i="53"/>
  <c r="G45" i="53"/>
  <c r="G59" i="53"/>
  <c r="G48" i="53"/>
  <c r="G50" i="53"/>
  <c r="G49" i="53"/>
  <c r="G44" i="53"/>
  <c r="G47" i="53"/>
  <c r="G54" i="53"/>
  <c r="G55" i="53"/>
  <c r="G52" i="53"/>
  <c r="G46" i="53"/>
  <c r="G41" i="53"/>
  <c r="G43" i="53"/>
  <c r="E29" i="53"/>
  <c r="E28" i="53"/>
  <c r="E22" i="53"/>
  <c r="E30" i="53"/>
  <c r="E18" i="53"/>
  <c r="E16" i="53"/>
  <c r="E26" i="53"/>
  <c r="E12" i="53"/>
  <c r="E21" i="53"/>
  <c r="E24" i="53"/>
  <c r="E25" i="53"/>
  <c r="E19" i="53"/>
  <c r="E20" i="53"/>
  <c r="E17" i="53"/>
  <c r="E14" i="53"/>
  <c r="E15" i="53"/>
  <c r="E23" i="53"/>
  <c r="E13" i="53"/>
  <c r="E27" i="53"/>
  <c r="H58" i="53"/>
  <c r="H57" i="53"/>
  <c r="H51" i="53"/>
  <c r="H41" i="53"/>
  <c r="H54" i="53"/>
  <c r="H56" i="53"/>
  <c r="H48" i="53"/>
  <c r="H46" i="53"/>
  <c r="H55" i="53"/>
  <c r="H45" i="53"/>
  <c r="H42" i="53"/>
  <c r="H43" i="53"/>
  <c r="H44" i="53"/>
  <c r="H53" i="53"/>
  <c r="H50" i="53"/>
  <c r="H49" i="53"/>
  <c r="H59" i="53"/>
  <c r="H47" i="53"/>
  <c r="H52" i="53"/>
  <c r="D28" i="53"/>
  <c r="J29" i="53"/>
  <c r="J28" i="53"/>
  <c r="K29" i="53"/>
  <c r="K28" i="53"/>
  <c r="D29" i="53"/>
  <c r="D24" i="53"/>
  <c r="J21" i="53"/>
  <c r="J16" i="53"/>
  <c r="J20" i="53"/>
  <c r="K17" i="53"/>
  <c r="K30" i="53"/>
  <c r="K26" i="53"/>
  <c r="K21" i="53"/>
  <c r="D22" i="53"/>
  <c r="K16" i="53"/>
  <c r="K20" i="53"/>
  <c r="J12" i="53"/>
  <c r="D14" i="53"/>
  <c r="J15" i="53"/>
  <c r="J22" i="53"/>
  <c r="D30" i="53"/>
  <c r="D27" i="53"/>
  <c r="J25" i="53"/>
  <c r="J18" i="53"/>
  <c r="D19" i="53"/>
  <c r="D17" i="53"/>
  <c r="K12" i="53"/>
  <c r="D15" i="53"/>
  <c r="D12" i="53"/>
  <c r="J14" i="53"/>
  <c r="J23" i="53"/>
  <c r="J24" i="53"/>
  <c r="D21" i="53"/>
  <c r="J13" i="53"/>
  <c r="K25" i="53"/>
  <c r="D16" i="53"/>
  <c r="D13" i="53"/>
  <c r="K19" i="53"/>
  <c r="D18" i="53"/>
  <c r="K23" i="53"/>
  <c r="D26" i="53"/>
  <c r="K13" i="53"/>
  <c r="J27" i="53"/>
  <c r="K15" i="53"/>
  <c r="D23" i="53"/>
  <c r="J26" i="53"/>
  <c r="J30" i="53"/>
  <c r="D25" i="53"/>
  <c r="K14" i="53"/>
  <c r="K24" i="53"/>
  <c r="K27" i="53"/>
  <c r="K18" i="53"/>
  <c r="D20" i="53"/>
  <c r="J19" i="53"/>
  <c r="K22" i="53"/>
  <c r="J17" i="53"/>
  <c r="J32" i="53"/>
  <c r="D32" i="53"/>
  <c r="M7" i="50"/>
  <c r="F29" i="53"/>
  <c r="F28" i="53"/>
  <c r="F18" i="53"/>
  <c r="F30" i="53"/>
  <c r="F17" i="53"/>
  <c r="F14" i="53"/>
  <c r="F12" i="53"/>
  <c r="F21" i="53"/>
  <c r="F19" i="53"/>
  <c r="F26" i="53"/>
  <c r="F20" i="53"/>
  <c r="F22" i="53"/>
  <c r="F15" i="53"/>
  <c r="F25" i="53"/>
  <c r="F13" i="53"/>
  <c r="F27" i="53"/>
  <c r="F16" i="53"/>
  <c r="F23" i="53"/>
  <c r="F24" i="53"/>
  <c r="G29" i="53"/>
  <c r="G28" i="53"/>
  <c r="G27" i="53"/>
  <c r="G13" i="53"/>
  <c r="G24" i="53"/>
  <c r="G19" i="53"/>
  <c r="G21" i="53"/>
  <c r="G20" i="53"/>
  <c r="G18" i="53"/>
  <c r="G25" i="53"/>
  <c r="G26" i="53"/>
  <c r="G23" i="53"/>
  <c r="G16" i="53"/>
  <c r="G22" i="53"/>
  <c r="G12" i="53"/>
  <c r="G14" i="53"/>
  <c r="G15" i="53"/>
  <c r="G30" i="53"/>
  <c r="G17" i="53"/>
  <c r="F58" i="53"/>
  <c r="F57" i="53"/>
  <c r="F53" i="53"/>
  <c r="F54" i="53"/>
  <c r="F47" i="53"/>
  <c r="F59" i="53"/>
  <c r="F46" i="53"/>
  <c r="F43" i="53"/>
  <c r="F56" i="53"/>
  <c r="F41" i="53"/>
  <c r="F50" i="53"/>
  <c r="F51" i="53"/>
  <c r="F48" i="53"/>
  <c r="F55" i="53"/>
  <c r="F45" i="53"/>
  <c r="F49" i="53"/>
  <c r="F44" i="53"/>
  <c r="F52" i="53"/>
  <c r="F42" i="53"/>
  <c r="H29" i="53"/>
  <c r="H28" i="53"/>
  <c r="H19" i="53"/>
  <c r="H26" i="53"/>
  <c r="H16" i="53"/>
  <c r="H25" i="53"/>
  <c r="H13" i="53"/>
  <c r="H15" i="53"/>
  <c r="H17" i="53"/>
  <c r="H24" i="53"/>
  <c r="H22" i="53"/>
  <c r="H21" i="53"/>
  <c r="H18" i="53"/>
  <c r="H27" i="53"/>
  <c r="H20" i="53"/>
  <c r="H30" i="53"/>
  <c r="H12" i="53"/>
  <c r="H23" i="53"/>
  <c r="H14" i="53"/>
  <c r="K32" i="53"/>
  <c r="E100" i="54"/>
  <c r="F100" i="54"/>
  <c r="D95" i="56"/>
  <c r="D104" i="56" s="1"/>
  <c r="D113" i="56" s="1"/>
  <c r="F94" i="56"/>
  <c r="F103" i="56" s="1"/>
  <c r="F112" i="56" s="1"/>
  <c r="D100" i="59"/>
  <c r="D109" i="59" s="1"/>
  <c r="D118" i="59" s="1"/>
  <c r="D127" i="59" s="1"/>
  <c r="H94" i="58"/>
  <c r="H103" i="58" s="1"/>
  <c r="H112" i="58" s="1"/>
  <c r="H94" i="56"/>
  <c r="H103" i="56" s="1"/>
  <c r="H112" i="56" s="1"/>
  <c r="D95" i="58"/>
  <c r="D104" i="58" s="1"/>
  <c r="D113" i="58" s="1"/>
  <c r="D94" i="55"/>
  <c r="D103" i="55" s="1"/>
  <c r="D112" i="55" s="1"/>
  <c r="D121" i="55" s="1"/>
  <c r="D130" i="55" s="1"/>
  <c r="D94" i="57"/>
  <c r="D103" i="57" s="1"/>
  <c r="D112" i="57" s="1"/>
  <c r="E100" i="59"/>
  <c r="E109" i="59" s="1"/>
  <c r="E118" i="59" s="1"/>
  <c r="E127" i="59" s="1"/>
  <c r="E94" i="55"/>
  <c r="E103" i="55" s="1"/>
  <c r="E112" i="55" s="1"/>
  <c r="E121" i="55" s="1"/>
  <c r="E130" i="55" s="1"/>
  <c r="E94" i="57"/>
  <c r="E103" i="57" s="1"/>
  <c r="E112" i="57" s="1"/>
  <c r="H101" i="59"/>
  <c r="H110" i="59" s="1"/>
  <c r="H119" i="59" s="1"/>
  <c r="H128" i="59" s="1"/>
  <c r="F94" i="55"/>
  <c r="F103" i="55" s="1"/>
  <c r="F112" i="55" s="1"/>
  <c r="F121" i="55" s="1"/>
  <c r="F130" i="55" s="1"/>
  <c r="F94" i="57"/>
  <c r="F103" i="57" s="1"/>
  <c r="F112" i="57" s="1"/>
  <c r="E95" i="55"/>
  <c r="E104" i="55" s="1"/>
  <c r="E113" i="55" s="1"/>
  <c r="E122" i="55" s="1"/>
  <c r="E131" i="55" s="1"/>
  <c r="H95" i="57"/>
  <c r="H104" i="57" s="1"/>
  <c r="H113" i="57" s="1"/>
  <c r="H95" i="55"/>
  <c r="H104" i="55" s="1"/>
  <c r="H113" i="55" s="1"/>
  <c r="H122" i="55" s="1"/>
  <c r="H131" i="55" s="1"/>
  <c r="F94" i="58"/>
  <c r="F103" i="58" s="1"/>
  <c r="F112" i="58" s="1"/>
  <c r="D10" i="16"/>
  <c r="J95" i="55"/>
  <c r="J104" i="55" s="1"/>
  <c r="J113" i="55" s="1"/>
  <c r="J122" i="55" s="1"/>
  <c r="J131" i="55" s="1"/>
  <c r="E95" i="56"/>
  <c r="E104" i="56" s="1"/>
  <c r="E113" i="56" s="1"/>
  <c r="J95" i="57"/>
  <c r="J104" i="57" s="1"/>
  <c r="J113" i="57" s="1"/>
  <c r="E95" i="58"/>
  <c r="E104" i="58" s="1"/>
  <c r="E113" i="58" s="1"/>
  <c r="J101" i="59"/>
  <c r="J110" i="59" s="1"/>
  <c r="J119" i="59" s="1"/>
  <c r="J128" i="59" s="1"/>
  <c r="E10" i="16"/>
  <c r="D101" i="54"/>
  <c r="G94" i="55"/>
  <c r="G103" i="55" s="1"/>
  <c r="G112" i="55" s="1"/>
  <c r="G121" i="55" s="1"/>
  <c r="G130" i="55" s="1"/>
  <c r="K95" i="55"/>
  <c r="K104" i="55" s="1"/>
  <c r="K113" i="55" s="1"/>
  <c r="K122" i="55" s="1"/>
  <c r="K131" i="55" s="1"/>
  <c r="F95" i="56"/>
  <c r="F104" i="56" s="1"/>
  <c r="F113" i="56" s="1"/>
  <c r="G94" i="57"/>
  <c r="G103" i="57" s="1"/>
  <c r="G112" i="57" s="1"/>
  <c r="K95" i="57"/>
  <c r="K104" i="57" s="1"/>
  <c r="K113" i="57" s="1"/>
  <c r="F95" i="58"/>
  <c r="F104" i="58" s="1"/>
  <c r="F113" i="58" s="1"/>
  <c r="G100" i="59"/>
  <c r="G109" i="59" s="1"/>
  <c r="G118" i="59" s="1"/>
  <c r="G127" i="59" s="1"/>
  <c r="K101" i="59"/>
  <c r="K110" i="59" s="1"/>
  <c r="K119" i="59" s="1"/>
  <c r="K128" i="59" s="1"/>
  <c r="F10" i="16"/>
  <c r="E101" i="54"/>
  <c r="H94" i="55"/>
  <c r="H103" i="55" s="1"/>
  <c r="H112" i="55" s="1"/>
  <c r="H121" i="55" s="1"/>
  <c r="H130" i="55" s="1"/>
  <c r="D94" i="56"/>
  <c r="D103" i="56" s="1"/>
  <c r="D112" i="56" s="1"/>
  <c r="G95" i="56"/>
  <c r="G104" i="56" s="1"/>
  <c r="G113" i="56" s="1"/>
  <c r="H94" i="57"/>
  <c r="H103" i="57" s="1"/>
  <c r="H112" i="57" s="1"/>
  <c r="D94" i="58"/>
  <c r="D103" i="58" s="1"/>
  <c r="D112" i="58" s="1"/>
  <c r="G95" i="58"/>
  <c r="G104" i="58" s="1"/>
  <c r="G113" i="58" s="1"/>
  <c r="H100" i="59"/>
  <c r="H109" i="59" s="1"/>
  <c r="H118" i="59" s="1"/>
  <c r="H127" i="59" s="1"/>
  <c r="C11" i="16"/>
  <c r="H101" i="54"/>
  <c r="D95" i="55"/>
  <c r="D104" i="55" s="1"/>
  <c r="D113" i="55" s="1"/>
  <c r="D122" i="55" s="1"/>
  <c r="D131" i="55" s="1"/>
  <c r="E94" i="56"/>
  <c r="E103" i="56" s="1"/>
  <c r="E112" i="56" s="1"/>
  <c r="H95" i="56"/>
  <c r="H104" i="56" s="1"/>
  <c r="H113" i="56" s="1"/>
  <c r="D95" i="57"/>
  <c r="D104" i="57" s="1"/>
  <c r="D113" i="57" s="1"/>
  <c r="E94" i="58"/>
  <c r="E103" i="58" s="1"/>
  <c r="E112" i="58" s="1"/>
  <c r="H95" i="58"/>
  <c r="H104" i="58" s="1"/>
  <c r="H113" i="58" s="1"/>
  <c r="D101" i="59"/>
  <c r="D110" i="59" s="1"/>
  <c r="D119" i="59" s="1"/>
  <c r="D128" i="59" s="1"/>
  <c r="D11" i="16"/>
  <c r="G101" i="54"/>
  <c r="J95" i="56"/>
  <c r="J104" i="56" s="1"/>
  <c r="J113" i="56" s="1"/>
  <c r="E95" i="57"/>
  <c r="E104" i="57" s="1"/>
  <c r="E113" i="57" s="1"/>
  <c r="J95" i="58"/>
  <c r="J104" i="58" s="1"/>
  <c r="J113" i="58" s="1"/>
  <c r="B10" i="16"/>
  <c r="E11" i="16"/>
  <c r="F95" i="55"/>
  <c r="F104" i="55" s="1"/>
  <c r="F113" i="55" s="1"/>
  <c r="F122" i="55" s="1"/>
  <c r="F131" i="55" s="1"/>
  <c r="G94" i="56"/>
  <c r="G103" i="56" s="1"/>
  <c r="G112" i="56" s="1"/>
  <c r="K95" i="56"/>
  <c r="K104" i="56" s="1"/>
  <c r="K113" i="56" s="1"/>
  <c r="F95" i="57"/>
  <c r="F104" i="57" s="1"/>
  <c r="F113" i="57" s="1"/>
  <c r="G94" i="58"/>
  <c r="G103" i="58" s="1"/>
  <c r="G112" i="58" s="1"/>
  <c r="K95" i="58"/>
  <c r="K104" i="58" s="1"/>
  <c r="K113" i="58" s="1"/>
  <c r="F101" i="59"/>
  <c r="F110" i="59" s="1"/>
  <c r="F119" i="59" s="1"/>
  <c r="F128" i="59" s="1"/>
  <c r="G95" i="55"/>
  <c r="G104" i="55" s="1"/>
  <c r="G113" i="55" s="1"/>
  <c r="G122" i="55" s="1"/>
  <c r="G131" i="55" s="1"/>
  <c r="G95" i="57"/>
  <c r="G104" i="57" s="1"/>
  <c r="G113" i="57" s="1"/>
  <c r="K7" i="50"/>
  <c r="N7" i="50"/>
  <c r="E100" i="57"/>
  <c r="E101" i="57" s="1"/>
  <c r="E110" i="57"/>
  <c r="F100" i="57"/>
  <c r="F101" i="57" s="1"/>
  <c r="D100" i="57"/>
  <c r="D101" i="57" s="1"/>
  <c r="G100" i="57"/>
  <c r="G101" i="57" s="1"/>
  <c r="H100" i="57"/>
  <c r="H101" i="57" s="1"/>
  <c r="K100" i="57"/>
  <c r="F30" i="27" s="1"/>
  <c r="J100" i="57"/>
  <c r="J101" i="57" s="1"/>
  <c r="G56" i="57"/>
  <c r="G59" i="57" s="1"/>
  <c r="E56" i="57"/>
  <c r="E59" i="57" s="1"/>
  <c r="AH25" i="50"/>
  <c r="E29" i="57"/>
  <c r="E32" i="57" s="1"/>
  <c r="AH33" i="50"/>
  <c r="H29" i="57"/>
  <c r="H32" i="57" s="1"/>
  <c r="D56" i="57"/>
  <c r="D59" i="57" s="1"/>
  <c r="D103" i="53"/>
  <c r="E104" i="53"/>
  <c r="F105" i="53"/>
  <c r="F103" i="53"/>
  <c r="G104" i="53"/>
  <c r="H105" i="53"/>
  <c r="D105" i="53"/>
  <c r="E100" i="55"/>
  <c r="E101" i="55" s="1"/>
  <c r="J100" i="56"/>
  <c r="J101" i="56" s="1"/>
  <c r="F102" i="53"/>
  <c r="H104" i="53"/>
  <c r="J105" i="53"/>
  <c r="D104" i="53"/>
  <c r="E105" i="53"/>
  <c r="H100" i="58"/>
  <c r="H101" i="58" s="1"/>
  <c r="E102" i="53"/>
  <c r="H103" i="53"/>
  <c r="E106" i="59"/>
  <c r="E107" i="59" s="1"/>
  <c r="F30" i="59"/>
  <c r="F33" i="59" s="1"/>
  <c r="F59" i="59"/>
  <c r="F62" i="59" s="1"/>
  <c r="F106" i="59"/>
  <c r="F107" i="59" s="1"/>
  <c r="G106" i="59"/>
  <c r="G107" i="59" s="1"/>
  <c r="J106" i="59"/>
  <c r="J107" i="59" s="1"/>
  <c r="AJ26" i="50"/>
  <c r="E30" i="59"/>
  <c r="E33" i="59" s="1"/>
  <c r="D106" i="59"/>
  <c r="D107" i="59" s="1"/>
  <c r="H106" i="59"/>
  <c r="H107" i="59" s="1"/>
  <c r="K106" i="59"/>
  <c r="H30" i="27" s="1"/>
  <c r="AJ31" i="50"/>
  <c r="AJ21" i="50"/>
  <c r="AJ29" i="50"/>
  <c r="AJ32" i="50"/>
  <c r="H30" i="59"/>
  <c r="H33" i="59" s="1"/>
  <c r="D59" i="59"/>
  <c r="D62" i="59" s="1"/>
  <c r="E116" i="59"/>
  <c r="G59" i="59"/>
  <c r="G62" i="59" s="1"/>
  <c r="AJ23" i="50"/>
  <c r="AJ34" i="50"/>
  <c r="H59" i="59"/>
  <c r="H62" i="59" s="1"/>
  <c r="AJ24" i="50"/>
  <c r="AJ18" i="50"/>
  <c r="K30" i="59"/>
  <c r="D30" i="59"/>
  <c r="D33" i="59" s="1"/>
  <c r="D100" i="58"/>
  <c r="D101" i="58" s="1"/>
  <c r="J103" i="53"/>
  <c r="K102" i="53"/>
  <c r="D110" i="58"/>
  <c r="E103" i="53"/>
  <c r="F104" i="53"/>
  <c r="G105" i="53"/>
  <c r="E100" i="58"/>
  <c r="E101" i="58" s="1"/>
  <c r="F100" i="58"/>
  <c r="F101" i="58" s="1"/>
  <c r="G100" i="58"/>
  <c r="G101" i="58" s="1"/>
  <c r="K100" i="58"/>
  <c r="G30" i="27" s="1"/>
  <c r="J104" i="53"/>
  <c r="J100" i="58"/>
  <c r="J101" i="58" s="1"/>
  <c r="G102" i="53"/>
  <c r="F29" i="58"/>
  <c r="F32" i="58" s="1"/>
  <c r="H32" i="58"/>
  <c r="D56" i="58"/>
  <c r="D59" i="58" s="1"/>
  <c r="E56" i="58"/>
  <c r="E59" i="58" s="1"/>
  <c r="AI20" i="50"/>
  <c r="G56" i="58"/>
  <c r="G59" i="58" s="1"/>
  <c r="D32" i="58"/>
  <c r="D100" i="56"/>
  <c r="D101" i="56" s="1"/>
  <c r="J119" i="56"/>
  <c r="K100" i="56"/>
  <c r="J102" i="53"/>
  <c r="H102" i="53"/>
  <c r="D102" i="53"/>
  <c r="E100" i="56"/>
  <c r="E101" i="56" s="1"/>
  <c r="F100" i="56"/>
  <c r="F101" i="56" s="1"/>
  <c r="G100" i="56"/>
  <c r="G101" i="56" s="1"/>
  <c r="H100" i="56"/>
  <c r="H101" i="56" s="1"/>
  <c r="H29" i="56"/>
  <c r="H32" i="56" s="1"/>
  <c r="D29" i="56"/>
  <c r="D32" i="56" s="1"/>
  <c r="AG30" i="50"/>
  <c r="AG22" i="50"/>
  <c r="D56" i="56"/>
  <c r="D59" i="56" s="1"/>
  <c r="E29" i="56"/>
  <c r="E32" i="56" s="1"/>
  <c r="F29" i="56"/>
  <c r="F32" i="56" s="1"/>
  <c r="F56" i="56"/>
  <c r="F59" i="56" s="1"/>
  <c r="F100" i="55"/>
  <c r="F101" i="55" s="1"/>
  <c r="G100" i="55"/>
  <c r="G101" i="55" s="1"/>
  <c r="H100" i="55"/>
  <c r="H101" i="55" s="1"/>
  <c r="E110" i="55"/>
  <c r="G103" i="53"/>
  <c r="D100" i="55"/>
  <c r="D101" i="55" s="1"/>
  <c r="K105" i="53"/>
  <c r="K104" i="53"/>
  <c r="K103" i="53"/>
  <c r="J100" i="55"/>
  <c r="J101" i="55" s="1"/>
  <c r="K100" i="55"/>
  <c r="D30" i="27" s="1"/>
  <c r="I26" i="27"/>
  <c r="AF19" i="50"/>
  <c r="AF7" i="50" s="1"/>
  <c r="F29" i="55"/>
  <c r="F32" i="55" s="1"/>
  <c r="G29" i="55"/>
  <c r="G32" i="55" s="1"/>
  <c r="H29" i="55"/>
  <c r="H32" i="55" s="1"/>
  <c r="D56" i="55"/>
  <c r="D59" i="55" s="1"/>
  <c r="K56" i="55"/>
  <c r="K59" i="55" s="1"/>
  <c r="D40" i="53"/>
  <c r="AE26" i="50"/>
  <c r="AG19" i="50"/>
  <c r="AG7" i="50" s="1"/>
  <c r="AJ20" i="50"/>
  <c r="AH22" i="50"/>
  <c r="AF24" i="50"/>
  <c r="AI25" i="50"/>
  <c r="AJ28" i="50"/>
  <c r="AH30" i="50"/>
  <c r="AF32" i="50"/>
  <c r="AI33" i="50"/>
  <c r="AH19" i="50"/>
  <c r="AH7" i="50" s="1"/>
  <c r="AF21" i="50"/>
  <c r="AI22" i="50"/>
  <c r="AG24" i="50"/>
  <c r="AJ25" i="50"/>
  <c r="AF29" i="50"/>
  <c r="AI30" i="50"/>
  <c r="AG32" i="50"/>
  <c r="AJ33" i="50"/>
  <c r="AF18" i="50"/>
  <c r="AI19" i="50"/>
  <c r="AI7" i="50" s="1"/>
  <c r="AG21" i="50"/>
  <c r="AJ22" i="50"/>
  <c r="AH24" i="50"/>
  <c r="AF26" i="50"/>
  <c r="AG29" i="50"/>
  <c r="AJ30" i="50"/>
  <c r="AH32" i="50"/>
  <c r="AF34" i="50"/>
  <c r="AG18" i="50"/>
  <c r="AJ19" i="50"/>
  <c r="AJ7" i="50" s="1"/>
  <c r="AH21" i="50"/>
  <c r="AF23" i="50"/>
  <c r="AI24" i="50"/>
  <c r="AG26" i="50"/>
  <c r="AJ27" i="50"/>
  <c r="AH29" i="50"/>
  <c r="AF31" i="50"/>
  <c r="AI32" i="50"/>
  <c r="AG34" i="50"/>
  <c r="AH18" i="50"/>
  <c r="AF20" i="50"/>
  <c r="AI21" i="50"/>
  <c r="AG23" i="50"/>
  <c r="AH26" i="50"/>
  <c r="AI29" i="50"/>
  <c r="AG31" i="50"/>
  <c r="AH34" i="50"/>
  <c r="AI18" i="50"/>
  <c r="AG20" i="50"/>
  <c r="AH23" i="50"/>
  <c r="AF25" i="50"/>
  <c r="AI26" i="50"/>
  <c r="AH31" i="50"/>
  <c r="AF33" i="50"/>
  <c r="AI34" i="50"/>
  <c r="AH20" i="50"/>
  <c r="AF22" i="50"/>
  <c r="AI23" i="50"/>
  <c r="AG25" i="50"/>
  <c r="AF30" i="50"/>
  <c r="AI31" i="50"/>
  <c r="AG33" i="50"/>
  <c r="G60" i="54"/>
  <c r="G63" i="54" s="1"/>
  <c r="K29" i="55"/>
  <c r="K32" i="55" s="1"/>
  <c r="D29" i="55"/>
  <c r="AE31" i="50"/>
  <c r="H56" i="55"/>
  <c r="H59" i="55" s="1"/>
  <c r="E60" i="54"/>
  <c r="E63" i="54" s="1"/>
  <c r="E29" i="55"/>
  <c r="E32" i="55" s="1"/>
  <c r="G56" i="55"/>
  <c r="G59" i="55" s="1"/>
  <c r="G29" i="56"/>
  <c r="G32" i="56" s="1"/>
  <c r="K29" i="57"/>
  <c r="F56" i="57"/>
  <c r="F59" i="57" s="1"/>
  <c r="E29" i="58"/>
  <c r="E32" i="58" s="1"/>
  <c r="G30" i="59"/>
  <c r="G33" i="59" s="1"/>
  <c r="AE30" i="50"/>
  <c r="E56" i="56"/>
  <c r="E59" i="56" s="1"/>
  <c r="D29" i="57"/>
  <c r="H56" i="57"/>
  <c r="H59" i="57" s="1"/>
  <c r="G29" i="58"/>
  <c r="G32" i="58" s="1"/>
  <c r="E59" i="59"/>
  <c r="E62" i="59" s="1"/>
  <c r="H60" i="54"/>
  <c r="H63" i="54" s="1"/>
  <c r="K29" i="56"/>
  <c r="F60" i="54"/>
  <c r="F63" i="54" s="1"/>
  <c r="E56" i="55"/>
  <c r="E59" i="55" s="1"/>
  <c r="G56" i="56"/>
  <c r="G59" i="56" s="1"/>
  <c r="F29" i="57"/>
  <c r="F32" i="57" s="1"/>
  <c r="F56" i="55"/>
  <c r="F59" i="55" s="1"/>
  <c r="H56" i="56"/>
  <c r="H59" i="56" s="1"/>
  <c r="G29" i="57"/>
  <c r="G32" i="57" s="1"/>
  <c r="F56" i="58"/>
  <c r="F59" i="58" s="1"/>
  <c r="H56" i="58"/>
  <c r="H59" i="58" s="1"/>
  <c r="D60" i="54"/>
  <c r="D63" i="54" s="1"/>
  <c r="K60" i="54"/>
  <c r="K63" i="54" s="1"/>
  <c r="K31" i="54"/>
  <c r="AE18" i="50"/>
  <c r="M6" i="50"/>
  <c r="J30" i="59"/>
  <c r="J33" i="59" s="1"/>
  <c r="F40" i="53"/>
  <c r="J29" i="58"/>
  <c r="J32" i="58" s="1"/>
  <c r="J29" i="57"/>
  <c r="J32" i="57" s="1"/>
  <c r="D11" i="53"/>
  <c r="E40" i="53"/>
  <c r="J11" i="53"/>
  <c r="G40" i="53"/>
  <c r="H40" i="53"/>
  <c r="G11" i="53"/>
  <c r="J40" i="53"/>
  <c r="I29" i="27"/>
  <c r="I27" i="27"/>
  <c r="K11" i="53"/>
  <c r="H11" i="53"/>
  <c r="K40" i="53"/>
  <c r="J60" i="54"/>
  <c r="J63" i="54" s="1"/>
  <c r="J31" i="54"/>
  <c r="J34" i="54" s="1"/>
  <c r="AE13" i="50" l="1"/>
  <c r="N10" i="50"/>
  <c r="E30" i="27"/>
  <c r="E31" i="27" s="1"/>
  <c r="L10" i="50"/>
  <c r="AE8" i="50"/>
  <c r="I39" i="51"/>
  <c r="I41" i="51"/>
  <c r="AH8" i="50"/>
  <c r="AE38" i="50"/>
  <c r="AG38" i="50"/>
  <c r="AG8" i="50"/>
  <c r="AJ38" i="50"/>
  <c r="AF8" i="50"/>
  <c r="AI8" i="50"/>
  <c r="AI38" i="50"/>
  <c r="AF38" i="50"/>
  <c r="AH38" i="50"/>
  <c r="AJ8" i="50"/>
  <c r="P8" i="50"/>
  <c r="K6" i="50"/>
  <c r="K9" i="50" s="1"/>
  <c r="M10" i="50"/>
  <c r="P6" i="50"/>
  <c r="M8" i="50"/>
  <c r="M9" i="50" s="1"/>
  <c r="L6" i="50"/>
  <c r="N8" i="50"/>
  <c r="O10" i="50"/>
  <c r="AE6" i="50"/>
  <c r="O8" i="50"/>
  <c r="L8" i="50"/>
  <c r="M38" i="50"/>
  <c r="M41" i="50" s="1"/>
  <c r="O6" i="50"/>
  <c r="K41" i="50"/>
  <c r="N38" i="50"/>
  <c r="N41" i="50" s="1"/>
  <c r="P38" i="50"/>
  <c r="P41" i="50" s="1"/>
  <c r="O38" i="50"/>
  <c r="O41" i="50" s="1"/>
  <c r="N6" i="50"/>
  <c r="L38" i="50"/>
  <c r="K10" i="50"/>
  <c r="K60" i="53"/>
  <c r="K63" i="53" s="1"/>
  <c r="J31" i="53"/>
  <c r="J34" i="53" s="1"/>
  <c r="D60" i="53"/>
  <c r="D63" i="53" s="1"/>
  <c r="F31" i="53"/>
  <c r="F34" i="53" s="1"/>
  <c r="E31" i="53"/>
  <c r="E34" i="53" s="1"/>
  <c r="F60" i="53"/>
  <c r="F63" i="53" s="1"/>
  <c r="H31" i="53"/>
  <c r="H34" i="53" s="1"/>
  <c r="H60" i="53"/>
  <c r="H63" i="53" s="1"/>
  <c r="G60" i="53"/>
  <c r="G63" i="53" s="1"/>
  <c r="E60" i="53"/>
  <c r="E63" i="53" s="1"/>
  <c r="K31" i="53"/>
  <c r="K34" i="53" s="1"/>
  <c r="D31" i="53"/>
  <c r="D34" i="53" s="1"/>
  <c r="J60" i="53"/>
  <c r="J63" i="53" s="1"/>
  <c r="G31" i="53"/>
  <c r="G34" i="53" s="1"/>
  <c r="K32" i="57"/>
  <c r="K32" i="58"/>
  <c r="K32" i="56"/>
  <c r="K33" i="59"/>
  <c r="I32" i="51"/>
  <c r="I30" i="51"/>
  <c r="I33" i="51"/>
  <c r="K34" i="54"/>
  <c r="I31" i="51"/>
  <c r="G106" i="53"/>
  <c r="G107" i="53" s="1"/>
  <c r="K101" i="56"/>
  <c r="D106" i="53"/>
  <c r="D107" i="53" s="1"/>
  <c r="AJ6" i="50"/>
  <c r="E106" i="53"/>
  <c r="E107" i="53" s="1"/>
  <c r="K101" i="57"/>
  <c r="F31" i="27"/>
  <c r="F106" i="53"/>
  <c r="F107" i="53" s="1"/>
  <c r="H106" i="53"/>
  <c r="H107" i="53" s="1"/>
  <c r="J106" i="53"/>
  <c r="J107" i="53" s="1"/>
  <c r="I25" i="51"/>
  <c r="K106" i="53"/>
  <c r="K107" i="53" s="1"/>
  <c r="F13" i="51" s="1"/>
  <c r="K107" i="59"/>
  <c r="H31" i="27"/>
  <c r="K101" i="58"/>
  <c r="G31" i="27"/>
  <c r="AI6" i="50"/>
  <c r="K101" i="55"/>
  <c r="D31" i="27"/>
  <c r="AF6" i="50"/>
  <c r="I29" i="51"/>
  <c r="I24" i="51"/>
  <c r="AG6" i="50"/>
  <c r="AH6" i="50"/>
  <c r="I27" i="51"/>
  <c r="I28" i="51"/>
  <c r="I21" i="51"/>
  <c r="F7" i="51" s="1"/>
  <c r="I22" i="51"/>
  <c r="I23" i="51"/>
  <c r="K62" i="59"/>
  <c r="I20" i="51"/>
  <c r="D32" i="55"/>
  <c r="I26" i="51"/>
  <c r="D32" i="57"/>
  <c r="I28" i="27"/>
  <c r="I30" i="27" s="1"/>
  <c r="I31" i="27" s="1"/>
  <c r="V3" i="50"/>
  <c r="V4" i="50"/>
  <c r="V16" i="50" s="1"/>
  <c r="V69" i="50"/>
  <c r="V43" i="50"/>
  <c r="V17" i="50"/>
  <c r="V31" i="50"/>
  <c r="F10" i="51" l="1"/>
  <c r="F100" i="51"/>
  <c r="E32" i="27"/>
  <c r="L41" i="50"/>
  <c r="AD40" i="50"/>
  <c r="AD39" i="50"/>
  <c r="P9" i="50"/>
  <c r="P11" i="50" s="1"/>
  <c r="I40" i="51"/>
  <c r="I43" i="51" s="1"/>
  <c r="O9" i="50"/>
  <c r="O11" i="50" s="1"/>
  <c r="L9" i="50"/>
  <c r="L11" i="50" s="1"/>
  <c r="AE9" i="50"/>
  <c r="K11" i="50"/>
  <c r="N9" i="50"/>
  <c r="N11" i="50" s="1"/>
  <c r="AG13" i="50"/>
  <c r="M11" i="50"/>
  <c r="F8" i="51"/>
  <c r="AJ9" i="50"/>
  <c r="F32" i="27"/>
  <c r="M13" i="50"/>
  <c r="H32" i="27"/>
  <c r="D32" i="27"/>
  <c r="AH13" i="50"/>
  <c r="N13" i="50"/>
  <c r="AI9" i="50"/>
  <c r="AF9" i="50"/>
  <c r="G32" i="27"/>
  <c r="AJ13" i="50"/>
  <c r="P13" i="50"/>
  <c r="AI13" i="50"/>
  <c r="O13" i="50"/>
  <c r="AG9" i="50"/>
  <c r="L13" i="50"/>
  <c r="AF13" i="50"/>
  <c r="F6" i="51"/>
  <c r="AH9" i="50"/>
  <c r="V13" i="50"/>
  <c r="V42" i="50"/>
  <c r="V68" i="50"/>
  <c r="AE39" i="50" l="1"/>
  <c r="AI39" i="50"/>
  <c r="AJ39" i="50"/>
  <c r="AG39" i="50"/>
  <c r="AF39" i="50"/>
  <c r="AH39" i="50"/>
  <c r="AE40" i="50"/>
  <c r="AI40" i="50"/>
  <c r="AJ40" i="50"/>
  <c r="AG40" i="50"/>
  <c r="AH40" i="50"/>
  <c r="AF40" i="50"/>
  <c r="F9" i="51"/>
  <c r="F11" i="51" s="1"/>
  <c r="AH41" i="50" l="1"/>
  <c r="AH10" i="50"/>
  <c r="AH11" i="50" s="1"/>
  <c r="AF10" i="50"/>
  <c r="AF11" i="50" s="1"/>
  <c r="AF41" i="50"/>
  <c r="AG10" i="50"/>
  <c r="AG11" i="50" s="1"/>
  <c r="AG41" i="50"/>
  <c r="AJ10" i="50"/>
  <c r="AJ11" i="50" s="1"/>
  <c r="AJ41" i="50"/>
  <c r="AI10" i="50"/>
  <c r="AI11" i="50" s="1"/>
  <c r="AI41" i="50"/>
  <c r="AE10" i="50"/>
  <c r="AE11" i="50" s="1"/>
  <c r="AE41" i="50"/>
  <c r="J20" i="19" l="1"/>
  <c r="J19" i="19" l="1"/>
  <c r="E19" i="27" l="1"/>
  <c r="E17" i="27"/>
  <c r="E100" i="14"/>
  <c r="E101" i="14" s="1"/>
  <c r="J100" i="14"/>
  <c r="E16" i="27"/>
  <c r="D19" i="27"/>
  <c r="D17" i="27"/>
  <c r="D18" i="27"/>
  <c r="D16" i="27"/>
  <c r="C19" i="27"/>
  <c r="H97" i="12"/>
  <c r="C17" i="27"/>
  <c r="C18" i="27"/>
  <c r="C16" i="27"/>
  <c r="H17" i="27"/>
  <c r="H18" i="27"/>
  <c r="H16" i="27"/>
  <c r="D9" i="27"/>
  <c r="D8" i="27"/>
  <c r="D7" i="27"/>
  <c r="D6" i="27"/>
  <c r="F9" i="27"/>
  <c r="F8" i="27"/>
  <c r="F7" i="27"/>
  <c r="F6" i="27"/>
  <c r="F16" i="27" l="1"/>
  <c r="K100" i="14"/>
  <c r="E20" i="27" s="1"/>
  <c r="E18" i="27"/>
  <c r="D11" i="8"/>
  <c r="J11" i="8"/>
  <c r="E30" i="9"/>
  <c r="J12" i="14"/>
  <c r="J101" i="14"/>
  <c r="D65" i="12"/>
  <c r="G100" i="14"/>
  <c r="E61" i="50"/>
  <c r="D61" i="50"/>
  <c r="C61" i="50"/>
  <c r="E60" i="50"/>
  <c r="D60" i="50"/>
  <c r="C60" i="50"/>
  <c r="E59" i="50"/>
  <c r="D59" i="50"/>
  <c r="C59" i="50"/>
  <c r="E58" i="50"/>
  <c r="D58" i="50"/>
  <c r="C58" i="50"/>
  <c r="E57" i="50"/>
  <c r="D57" i="50"/>
  <c r="C57" i="50"/>
  <c r="E56" i="50"/>
  <c r="D56" i="50"/>
  <c r="C56" i="50"/>
  <c r="K101" i="14" l="1"/>
  <c r="E15" i="19"/>
  <c r="C20" i="19" l="1"/>
  <c r="H22" i="13" l="1"/>
  <c r="E22" i="13"/>
  <c r="D49" i="13"/>
  <c r="H21" i="13"/>
  <c r="E21" i="13" l="1"/>
  <c r="F22" i="13"/>
  <c r="F21" i="13"/>
  <c r="G22" i="13"/>
  <c r="G21" i="13"/>
  <c r="K48" i="13"/>
  <c r="D22" i="13"/>
  <c r="K49" i="13"/>
  <c r="J48" i="13"/>
  <c r="E21" i="14"/>
  <c r="H22" i="14"/>
  <c r="F21" i="14"/>
  <c r="K21" i="14"/>
  <c r="D21" i="14"/>
  <c r="J21" i="14"/>
  <c r="G21" i="14"/>
  <c r="G22" i="14"/>
  <c r="H21" i="14"/>
  <c r="K22" i="14"/>
  <c r="D22" i="14"/>
  <c r="J22" i="14"/>
  <c r="E22" i="14"/>
  <c r="F22" i="14"/>
  <c r="K21" i="13"/>
  <c r="J49" i="13"/>
  <c r="H48" i="13"/>
  <c r="K22" i="13"/>
  <c r="J21" i="13"/>
  <c r="H49" i="13"/>
  <c r="G48" i="13"/>
  <c r="J22" i="13"/>
  <c r="G49" i="13"/>
  <c r="F48" i="13"/>
  <c r="F49" i="13"/>
  <c r="E48" i="13"/>
  <c r="E49" i="13"/>
  <c r="D48" i="13"/>
  <c r="D21" i="13"/>
  <c r="D55" i="50" l="1"/>
  <c r="D54" i="50"/>
  <c r="D24" i="8"/>
  <c r="E23" i="8"/>
  <c r="E24" i="8" l="1"/>
  <c r="G24" i="8"/>
  <c r="F24" i="8"/>
  <c r="K23" i="8"/>
  <c r="F23" i="8"/>
  <c r="K22" i="8"/>
  <c r="J22" i="8"/>
  <c r="K24" i="8"/>
  <c r="J23" i="8"/>
  <c r="K21" i="8"/>
  <c r="J24" i="8"/>
  <c r="H23" i="8"/>
  <c r="J21" i="8"/>
  <c r="H24" i="8"/>
  <c r="G23" i="8"/>
  <c r="K20" i="8"/>
  <c r="J20" i="8"/>
  <c r="D23" i="8"/>
  <c r="H19" i="27"/>
  <c r="K100" i="15" l="1"/>
  <c r="H20" i="27" s="1"/>
  <c r="J54" i="15"/>
  <c r="K55" i="15"/>
  <c r="J53" i="15"/>
  <c r="J23" i="15"/>
  <c r="J49" i="15"/>
  <c r="J52" i="15" l="1"/>
  <c r="K54" i="15"/>
  <c r="K51" i="15"/>
  <c r="J48" i="15"/>
  <c r="J27" i="15"/>
  <c r="J50" i="15"/>
  <c r="J28" i="15"/>
  <c r="J24" i="15"/>
  <c r="J55" i="15"/>
  <c r="J51" i="15"/>
  <c r="K27" i="15"/>
  <c r="K23" i="15"/>
  <c r="K50" i="15"/>
  <c r="K26" i="15"/>
  <c r="K22" i="15"/>
  <c r="K53" i="15"/>
  <c r="K49" i="15"/>
  <c r="J26" i="15"/>
  <c r="J22" i="15"/>
  <c r="K25" i="15"/>
  <c r="K21" i="15"/>
  <c r="K52" i="15"/>
  <c r="K48" i="15"/>
  <c r="J25" i="15"/>
  <c r="J21" i="15"/>
  <c r="K28" i="15"/>
  <c r="K24" i="15"/>
  <c r="F55" i="11"/>
  <c r="E55" i="11"/>
  <c r="D55" i="11"/>
  <c r="H27" i="11"/>
  <c r="G27" i="11"/>
  <c r="F27" i="11"/>
  <c r="D25" i="11"/>
  <c r="G51" i="11"/>
  <c r="D24" i="11"/>
  <c r="G50" i="11"/>
  <c r="F50" i="11"/>
  <c r="G49" i="11"/>
  <c r="J22" i="11"/>
  <c r="G48" i="11"/>
  <c r="F49" i="11" l="1"/>
  <c r="E54" i="11"/>
  <c r="D48" i="11"/>
  <c r="E48" i="11"/>
  <c r="J53" i="11"/>
  <c r="F48" i="11"/>
  <c r="E49" i="11"/>
  <c r="C85" i="50"/>
  <c r="C87" i="51"/>
  <c r="C82" i="51"/>
  <c r="C80" i="50"/>
  <c r="C81" i="50"/>
  <c r="C83" i="51"/>
  <c r="C86" i="51"/>
  <c r="C84" i="50"/>
  <c r="C82" i="50"/>
  <c r="C84" i="51"/>
  <c r="C83" i="50"/>
  <c r="C85" i="51"/>
  <c r="C88" i="51"/>
  <c r="C86" i="50"/>
  <c r="C89" i="51"/>
  <c r="C87" i="50"/>
  <c r="F26" i="11"/>
  <c r="F24" i="11"/>
  <c r="F25" i="11"/>
  <c r="H28" i="11"/>
  <c r="H21" i="11"/>
  <c r="H26" i="11"/>
  <c r="E24" i="11"/>
  <c r="H52" i="11"/>
  <c r="H49" i="11"/>
  <c r="E26" i="11"/>
  <c r="E23" i="11"/>
  <c r="H51" i="11"/>
  <c r="E25" i="11"/>
  <c r="H50" i="11"/>
  <c r="K23" i="11"/>
  <c r="G26" i="11"/>
  <c r="K54" i="11"/>
  <c r="G28" i="11"/>
  <c r="G25" i="11"/>
  <c r="K24" i="11"/>
  <c r="J23" i="11"/>
  <c r="H22" i="11"/>
  <c r="G21" i="11"/>
  <c r="F51" i="11"/>
  <c r="E50" i="11"/>
  <c r="D49" i="11"/>
  <c r="K55" i="11"/>
  <c r="J54" i="11"/>
  <c r="H53" i="11"/>
  <c r="G52" i="11"/>
  <c r="F28" i="11"/>
  <c r="E27" i="11"/>
  <c r="D26" i="11"/>
  <c r="J24" i="11"/>
  <c r="H23" i="11"/>
  <c r="G22" i="11"/>
  <c r="F21" i="11"/>
  <c r="E51" i="11"/>
  <c r="D50" i="11"/>
  <c r="K48" i="11"/>
  <c r="J55" i="11"/>
  <c r="H54" i="11"/>
  <c r="G53" i="11"/>
  <c r="F52" i="11"/>
  <c r="E28" i="11"/>
  <c r="D27" i="11"/>
  <c r="K25" i="11"/>
  <c r="H24" i="11"/>
  <c r="G23" i="11"/>
  <c r="F22" i="11"/>
  <c r="E21" i="11"/>
  <c r="D51" i="11"/>
  <c r="K49" i="11"/>
  <c r="J48" i="11"/>
  <c r="H55" i="11"/>
  <c r="G54" i="11"/>
  <c r="F53" i="11"/>
  <c r="E52" i="11"/>
  <c r="D28" i="11"/>
  <c r="K26" i="11"/>
  <c r="J25" i="11"/>
  <c r="G24" i="11"/>
  <c r="F23" i="11"/>
  <c r="E22" i="11"/>
  <c r="D21" i="11"/>
  <c r="K50" i="11"/>
  <c r="J49" i="11"/>
  <c r="H48" i="11"/>
  <c r="G55" i="11"/>
  <c r="F54" i="11"/>
  <c r="E53" i="11"/>
  <c r="D52" i="11"/>
  <c r="K27" i="11"/>
  <c r="F34" i="50" s="1"/>
  <c r="J26" i="11"/>
  <c r="H25" i="11"/>
  <c r="D22" i="11"/>
  <c r="K51" i="11"/>
  <c r="J50" i="11"/>
  <c r="D53" i="11"/>
  <c r="K28" i="11"/>
  <c r="F35" i="50" s="1"/>
  <c r="J27" i="11"/>
  <c r="D23" i="11"/>
  <c r="K21" i="11"/>
  <c r="J51" i="11"/>
  <c r="D54" i="11"/>
  <c r="K52" i="11"/>
  <c r="J28" i="11"/>
  <c r="K22" i="11"/>
  <c r="J21" i="11"/>
  <c r="K53" i="11"/>
  <c r="J52" i="11"/>
  <c r="F30" i="50" l="1"/>
  <c r="F29" i="50"/>
  <c r="F33" i="50"/>
  <c r="F28" i="50"/>
  <c r="F32" i="50"/>
  <c r="F31" i="50"/>
  <c r="H24" i="10"/>
  <c r="D23" i="10"/>
  <c r="J48" i="24" l="1"/>
  <c r="K48" i="24"/>
  <c r="D21" i="24"/>
  <c r="K21" i="24"/>
  <c r="D48" i="24"/>
  <c r="J21" i="24"/>
  <c r="G22" i="24"/>
  <c r="G49" i="24"/>
  <c r="E21" i="24"/>
  <c r="E48" i="24"/>
  <c r="H22" i="24"/>
  <c r="H49" i="24"/>
  <c r="F21" i="24"/>
  <c r="F48" i="24"/>
  <c r="G21" i="24"/>
  <c r="G48" i="24"/>
  <c r="H48" i="24"/>
  <c r="H21" i="24"/>
  <c r="J49" i="24"/>
  <c r="K22" i="24"/>
  <c r="K49" i="24"/>
  <c r="D49" i="24"/>
  <c r="D22" i="24"/>
  <c r="J22" i="24"/>
  <c r="E22" i="24"/>
  <c r="E49" i="24"/>
  <c r="F49" i="24"/>
  <c r="F22" i="24"/>
  <c r="J24" i="10"/>
  <c r="G22" i="10"/>
  <c r="E21" i="10"/>
  <c r="F21" i="10"/>
  <c r="H23" i="10"/>
  <c r="K20" i="10"/>
  <c r="J20" i="10"/>
  <c r="D20" i="10"/>
  <c r="G21" i="10"/>
  <c r="E24" i="10"/>
  <c r="E23" i="10"/>
  <c r="D24" i="10"/>
  <c r="H22" i="10"/>
  <c r="E20" i="10"/>
  <c r="H21" i="10"/>
  <c r="F24" i="10"/>
  <c r="F23" i="10"/>
  <c r="D21" i="10"/>
  <c r="K21" i="10"/>
  <c r="J21" i="10"/>
  <c r="K23" i="10"/>
  <c r="J23" i="10"/>
  <c r="F20" i="10"/>
  <c r="J22" i="10"/>
  <c r="D22" i="10"/>
  <c r="K22" i="10"/>
  <c r="G23" i="10"/>
  <c r="G24" i="10"/>
  <c r="G20" i="10"/>
  <c r="E22" i="10"/>
  <c r="H20" i="10"/>
  <c r="F22" i="10"/>
  <c r="K24" i="10"/>
  <c r="C54" i="50" l="1"/>
  <c r="C55" i="50"/>
  <c r="H19" i="9"/>
  <c r="B77" i="10"/>
  <c r="F19" i="9" l="1"/>
  <c r="E19" i="9"/>
  <c r="G19" i="9"/>
  <c r="J48" i="9"/>
  <c r="K48" i="9"/>
  <c r="J21" i="9"/>
  <c r="D48" i="9"/>
  <c r="K21" i="9"/>
  <c r="D28" i="50" s="1"/>
  <c r="D21" i="9"/>
  <c r="G22" i="9"/>
  <c r="G49" i="9"/>
  <c r="E48" i="9"/>
  <c r="E21" i="9"/>
  <c r="H22" i="9"/>
  <c r="H49" i="9"/>
  <c r="F21" i="9"/>
  <c r="F48" i="9"/>
  <c r="J47" i="9"/>
  <c r="K47" i="9"/>
  <c r="J20" i="9"/>
  <c r="D47" i="9"/>
  <c r="K20" i="9"/>
  <c r="D27" i="50" s="1"/>
  <c r="D20" i="9"/>
  <c r="G21" i="9"/>
  <c r="G48" i="9"/>
  <c r="E20" i="9"/>
  <c r="E47" i="9"/>
  <c r="H21" i="9"/>
  <c r="H48" i="9"/>
  <c r="F20" i="9"/>
  <c r="F47" i="9"/>
  <c r="K49" i="9"/>
  <c r="J22" i="9"/>
  <c r="D49" i="9"/>
  <c r="K22" i="9"/>
  <c r="J49" i="9"/>
  <c r="D22" i="9"/>
  <c r="D19" i="9"/>
  <c r="J19" i="9"/>
  <c r="K19" i="9"/>
  <c r="G20" i="9"/>
  <c r="G47" i="9"/>
  <c r="E49" i="9"/>
  <c r="E22" i="9"/>
  <c r="H47" i="9"/>
  <c r="H20" i="9"/>
  <c r="F49" i="9"/>
  <c r="F22" i="9"/>
  <c r="D29" i="50" l="1"/>
  <c r="B14" i="27"/>
  <c r="B4" i="27"/>
  <c r="K82" i="12" l="1"/>
  <c r="J82" i="12"/>
  <c r="H82" i="12"/>
  <c r="G82" i="12"/>
  <c r="F82" i="12"/>
  <c r="E82" i="12"/>
  <c r="D82" i="12"/>
  <c r="K81" i="12"/>
  <c r="J81" i="12"/>
  <c r="H81" i="12"/>
  <c r="G81" i="12"/>
  <c r="F81" i="12"/>
  <c r="E81" i="12"/>
  <c r="D81" i="12"/>
  <c r="K80" i="12"/>
  <c r="J80" i="12"/>
  <c r="H80" i="12"/>
  <c r="G80" i="12"/>
  <c r="F80" i="12"/>
  <c r="E80" i="12"/>
  <c r="D80" i="12"/>
  <c r="K79" i="12"/>
  <c r="J79" i="12"/>
  <c r="H79" i="12"/>
  <c r="G79" i="12"/>
  <c r="F79" i="12"/>
  <c r="E79" i="12"/>
  <c r="D79" i="12"/>
  <c r="K78" i="12"/>
  <c r="J78" i="12"/>
  <c r="H78" i="12"/>
  <c r="G78" i="12"/>
  <c r="F78" i="12"/>
  <c r="E78" i="12"/>
  <c r="D78" i="12"/>
  <c r="K77" i="12"/>
  <c r="J77" i="12"/>
  <c r="H77" i="12"/>
  <c r="G77" i="12"/>
  <c r="F77" i="12"/>
  <c r="E77" i="12"/>
  <c r="D77" i="12"/>
  <c r="D75" i="12"/>
  <c r="E75" i="12"/>
  <c r="F75" i="12"/>
  <c r="G75" i="12"/>
  <c r="H75" i="12"/>
  <c r="J75" i="12"/>
  <c r="K75" i="12"/>
  <c r="D76" i="12"/>
  <c r="E76" i="12"/>
  <c r="F76" i="12"/>
  <c r="G76" i="12"/>
  <c r="H76" i="12"/>
  <c r="J76" i="12"/>
  <c r="K76" i="12"/>
  <c r="K81" i="23"/>
  <c r="J81" i="23"/>
  <c r="H81" i="23"/>
  <c r="G81" i="23"/>
  <c r="F81" i="23"/>
  <c r="E81" i="23"/>
  <c r="D81" i="23"/>
  <c r="K80" i="23"/>
  <c r="J80" i="23"/>
  <c r="H80" i="23"/>
  <c r="G80" i="23"/>
  <c r="F80" i="23"/>
  <c r="E80" i="23"/>
  <c r="D80" i="23"/>
  <c r="K79" i="23"/>
  <c r="J79" i="23"/>
  <c r="H79" i="23"/>
  <c r="G79" i="23"/>
  <c r="F79" i="23"/>
  <c r="E79" i="23"/>
  <c r="D79" i="23"/>
  <c r="K78" i="23"/>
  <c r="J78" i="23"/>
  <c r="H78" i="23"/>
  <c r="G78" i="23"/>
  <c r="F78" i="23"/>
  <c r="E78" i="23"/>
  <c r="D78" i="23"/>
  <c r="K77" i="23"/>
  <c r="J77" i="23"/>
  <c r="H77" i="23"/>
  <c r="G77" i="23"/>
  <c r="F77" i="23"/>
  <c r="E77" i="23"/>
  <c r="D77" i="23"/>
  <c r="K76" i="23"/>
  <c r="J76" i="23"/>
  <c r="H76" i="23"/>
  <c r="G76" i="23"/>
  <c r="F76" i="23"/>
  <c r="E76" i="23"/>
  <c r="D76" i="23"/>
  <c r="K75" i="23"/>
  <c r="J75" i="23"/>
  <c r="H75" i="23"/>
  <c r="G75" i="23"/>
  <c r="F75" i="23"/>
  <c r="E75" i="23"/>
  <c r="D75" i="23"/>
  <c r="D6" i="15" l="1"/>
  <c r="A15" i="17" l="1"/>
  <c r="A16" i="17"/>
  <c r="K95" i="15" l="1"/>
  <c r="J7" i="15"/>
  <c r="J95" i="15" s="1"/>
  <c r="D95" i="15"/>
  <c r="B39" i="15"/>
  <c r="B40" i="15"/>
  <c r="B41" i="15"/>
  <c r="B42" i="15"/>
  <c r="B16" i="15"/>
  <c r="V75" i="50" s="1"/>
  <c r="B17" i="15"/>
  <c r="V76" i="50" s="1"/>
  <c r="B18" i="15"/>
  <c r="V77" i="50" s="1"/>
  <c r="B19" i="15"/>
  <c r="B47" i="15"/>
  <c r="B48" i="15"/>
  <c r="B49" i="15"/>
  <c r="B50" i="15"/>
  <c r="B24" i="15"/>
  <c r="V83" i="50" s="1"/>
  <c r="B25" i="15"/>
  <c r="V84" i="50" s="1"/>
  <c r="B26" i="15"/>
  <c r="V85" i="50" s="1"/>
  <c r="B27" i="15"/>
  <c r="B28" i="15"/>
  <c r="B29" i="15"/>
  <c r="B88" i="50" l="1"/>
  <c r="V88" i="50"/>
  <c r="B87" i="50"/>
  <c r="V87" i="50"/>
  <c r="B86" i="50"/>
  <c r="V86" i="50"/>
  <c r="B78" i="50"/>
  <c r="V78" i="50"/>
  <c r="B23" i="15"/>
  <c r="B20" i="15"/>
  <c r="B55" i="15"/>
  <c r="B15" i="15"/>
  <c r="B52" i="15"/>
  <c r="B12" i="15"/>
  <c r="B44" i="15"/>
  <c r="B76" i="50"/>
  <c r="B78" i="51"/>
  <c r="B85" i="50"/>
  <c r="B87" i="51"/>
  <c r="B77" i="50"/>
  <c r="B79" i="51"/>
  <c r="B84" i="50"/>
  <c r="B86" i="51"/>
  <c r="B85" i="51"/>
  <c r="B83" i="50"/>
  <c r="B77" i="51"/>
  <c r="B75" i="50"/>
  <c r="B54" i="15"/>
  <c r="B46" i="15"/>
  <c r="B22" i="15"/>
  <c r="V81" i="50" s="1"/>
  <c r="B14" i="15"/>
  <c r="V73" i="50" s="1"/>
  <c r="B53" i="15"/>
  <c r="B45" i="15"/>
  <c r="B21" i="15"/>
  <c r="B13" i="15"/>
  <c r="B51" i="15"/>
  <c r="B43" i="15"/>
  <c r="B89" i="51"/>
  <c r="B88" i="51"/>
  <c r="B80" i="51"/>
  <c r="B74" i="51" l="1"/>
  <c r="V72" i="50"/>
  <c r="B82" i="51"/>
  <c r="V80" i="50"/>
  <c r="B73" i="51"/>
  <c r="V71" i="50"/>
  <c r="B74" i="50"/>
  <c r="V74" i="50"/>
  <c r="B81" i="51"/>
  <c r="V79" i="50"/>
  <c r="B84" i="51"/>
  <c r="V82" i="50"/>
  <c r="B79" i="50"/>
  <c r="B80" i="50"/>
  <c r="B82" i="50"/>
  <c r="B76" i="51"/>
  <c r="B72" i="50"/>
  <c r="B71" i="50"/>
  <c r="B73" i="50"/>
  <c r="B75" i="51"/>
  <c r="B81" i="50"/>
  <c r="B83" i="51"/>
  <c r="B98" i="51"/>
  <c r="B69" i="50"/>
  <c r="B68" i="50"/>
  <c r="B43" i="50"/>
  <c r="B42" i="50"/>
  <c r="B17" i="50"/>
  <c r="B16" i="50"/>
  <c r="B13" i="50"/>
  <c r="B71" i="51" l="1"/>
  <c r="B99" i="51"/>
  <c r="B70" i="51"/>
  <c r="B44" i="51"/>
  <c r="B45" i="51"/>
  <c r="B18" i="51"/>
  <c r="B19" i="51"/>
  <c r="K95" i="12" l="1"/>
  <c r="C66" i="24"/>
  <c r="C67" i="24"/>
  <c r="C68" i="24"/>
  <c r="C69" i="24"/>
  <c r="C70" i="24"/>
  <c r="C71" i="24"/>
  <c r="C72" i="24"/>
  <c r="C73" i="24"/>
  <c r="C74" i="24"/>
  <c r="C83" i="24"/>
  <c r="C84" i="24"/>
  <c r="C85" i="24"/>
  <c r="C86" i="24"/>
  <c r="C87" i="24"/>
  <c r="C88" i="24"/>
  <c r="B66" i="13"/>
  <c r="B67" i="13"/>
  <c r="B68" i="13"/>
  <c r="B69" i="24"/>
  <c r="B70" i="24"/>
  <c r="B71" i="24"/>
  <c r="B72" i="13"/>
  <c r="B73" i="13"/>
  <c r="B74" i="13"/>
  <c r="B75" i="14"/>
  <c r="B76" i="14"/>
  <c r="B77" i="24"/>
  <c r="B78" i="24"/>
  <c r="B79" i="24"/>
  <c r="B80" i="13"/>
  <c r="B81" i="13"/>
  <c r="B82" i="13"/>
  <c r="B39" i="14"/>
  <c r="B40" i="14"/>
  <c r="B41" i="24"/>
  <c r="B42" i="24"/>
  <c r="B43" i="24"/>
  <c r="B44" i="13"/>
  <c r="B45" i="13"/>
  <c r="B46" i="13"/>
  <c r="B47" i="14"/>
  <c r="B48" i="14"/>
  <c r="B49" i="24"/>
  <c r="B50" i="24"/>
  <c r="B51" i="24"/>
  <c r="B52" i="13"/>
  <c r="B53" i="13"/>
  <c r="B54" i="13"/>
  <c r="B55" i="14"/>
  <c r="B38" i="15"/>
  <c r="V45" i="50"/>
  <c r="V52" i="50"/>
  <c r="B11" i="15" l="1"/>
  <c r="V70" i="50" s="1"/>
  <c r="V44" i="50"/>
  <c r="B27" i="24"/>
  <c r="V60" i="50"/>
  <c r="B26" i="14"/>
  <c r="V59" i="50"/>
  <c r="B25" i="14"/>
  <c r="V58" i="50"/>
  <c r="B24" i="14"/>
  <c r="V57" i="50"/>
  <c r="B23" i="14"/>
  <c r="V56" i="50"/>
  <c r="B22" i="14"/>
  <c r="V55" i="50"/>
  <c r="B21" i="14"/>
  <c r="V54" i="50"/>
  <c r="B20" i="13"/>
  <c r="V53" i="50"/>
  <c r="B18" i="14"/>
  <c r="V51" i="50"/>
  <c r="B17" i="14"/>
  <c r="V50" i="50"/>
  <c r="B16" i="14"/>
  <c r="V49" i="50"/>
  <c r="B15" i="14"/>
  <c r="V48" i="50"/>
  <c r="B14" i="14"/>
  <c r="V47" i="50"/>
  <c r="B13" i="14"/>
  <c r="V46" i="50"/>
  <c r="B28" i="24"/>
  <c r="V61" i="50"/>
  <c r="B70" i="50"/>
  <c r="B72" i="51"/>
  <c r="B44" i="50"/>
  <c r="B46" i="51"/>
  <c r="B47" i="51"/>
  <c r="B45" i="50"/>
  <c r="B20" i="24"/>
  <c r="B12" i="24"/>
  <c r="B48" i="24"/>
  <c r="B40" i="24"/>
  <c r="B76" i="24"/>
  <c r="B68" i="24"/>
  <c r="C75" i="24"/>
  <c r="B23" i="13"/>
  <c r="B15" i="13"/>
  <c r="B51" i="13"/>
  <c r="B43" i="13"/>
  <c r="B79" i="13"/>
  <c r="B71" i="13"/>
  <c r="C80" i="13"/>
  <c r="B54" i="14"/>
  <c r="B46" i="14"/>
  <c r="B82" i="14"/>
  <c r="C82" i="14"/>
  <c r="B54" i="51"/>
  <c r="B52" i="50"/>
  <c r="B63" i="51"/>
  <c r="B61" i="50"/>
  <c r="B19" i="24"/>
  <c r="B55" i="24"/>
  <c r="B47" i="24"/>
  <c r="B39" i="24"/>
  <c r="B75" i="24"/>
  <c r="B67" i="24"/>
  <c r="C82" i="24"/>
  <c r="B22" i="13"/>
  <c r="B14" i="13"/>
  <c r="B50" i="13"/>
  <c r="B42" i="13"/>
  <c r="B78" i="13"/>
  <c r="B70" i="13"/>
  <c r="C79" i="13"/>
  <c r="B53" i="14"/>
  <c r="B45" i="14"/>
  <c r="B81" i="14"/>
  <c r="C81" i="14"/>
  <c r="B62" i="51"/>
  <c r="B60" i="50"/>
  <c r="B61" i="51"/>
  <c r="B59" i="50"/>
  <c r="B53" i="51"/>
  <c r="B51" i="50"/>
  <c r="B26" i="24"/>
  <c r="B18" i="24"/>
  <c r="B54" i="24"/>
  <c r="B46" i="24"/>
  <c r="B82" i="24"/>
  <c r="B74" i="24"/>
  <c r="B66" i="24"/>
  <c r="C81" i="24"/>
  <c r="B21" i="13"/>
  <c r="B13" i="13"/>
  <c r="B49" i="13"/>
  <c r="B41" i="13"/>
  <c r="B77" i="13"/>
  <c r="B69" i="13"/>
  <c r="C78" i="13"/>
  <c r="B52" i="14"/>
  <c r="B44" i="14"/>
  <c r="B80" i="14"/>
  <c r="C80" i="14"/>
  <c r="B60" i="51"/>
  <c r="B58" i="50"/>
  <c r="B52" i="51"/>
  <c r="B50" i="50"/>
  <c r="B25" i="24"/>
  <c r="B17" i="24"/>
  <c r="B53" i="24"/>
  <c r="B45" i="24"/>
  <c r="B81" i="24"/>
  <c r="B73" i="24"/>
  <c r="C80" i="24"/>
  <c r="B28" i="13"/>
  <c r="B12" i="13"/>
  <c r="B48" i="13"/>
  <c r="B40" i="13"/>
  <c r="B76" i="13"/>
  <c r="C77" i="13"/>
  <c r="B51" i="14"/>
  <c r="B43" i="14"/>
  <c r="B79" i="14"/>
  <c r="C79" i="14"/>
  <c r="B55" i="51"/>
  <c r="B53" i="50"/>
  <c r="B59" i="51"/>
  <c r="B57" i="50"/>
  <c r="B51" i="51"/>
  <c r="B49" i="50"/>
  <c r="B24" i="24"/>
  <c r="B16" i="24"/>
  <c r="B52" i="24"/>
  <c r="B44" i="24"/>
  <c r="B80" i="24"/>
  <c r="B72" i="24"/>
  <c r="C79" i="24"/>
  <c r="B27" i="13"/>
  <c r="B19" i="13"/>
  <c r="B55" i="13"/>
  <c r="B47" i="13"/>
  <c r="B39" i="13"/>
  <c r="B75" i="13"/>
  <c r="C76" i="13"/>
  <c r="B50" i="14"/>
  <c r="B42" i="14"/>
  <c r="B78" i="14"/>
  <c r="C78" i="14"/>
  <c r="B58" i="51"/>
  <c r="B56" i="50"/>
  <c r="B50" i="51"/>
  <c r="B48" i="50"/>
  <c r="B23" i="24"/>
  <c r="B15" i="24"/>
  <c r="C78" i="24"/>
  <c r="B26" i="13"/>
  <c r="B18" i="13"/>
  <c r="C75" i="13"/>
  <c r="B49" i="14"/>
  <c r="B41" i="14"/>
  <c r="B77" i="14"/>
  <c r="C77" i="14"/>
  <c r="B57" i="51"/>
  <c r="B55" i="50"/>
  <c r="B49" i="51"/>
  <c r="B47" i="50"/>
  <c r="B22" i="24"/>
  <c r="B14" i="24"/>
  <c r="C77" i="24"/>
  <c r="B25" i="13"/>
  <c r="B17" i="13"/>
  <c r="C82" i="13"/>
  <c r="B28" i="14"/>
  <c r="B20" i="14"/>
  <c r="B12" i="14"/>
  <c r="C76" i="14"/>
  <c r="B56" i="51"/>
  <c r="B54" i="50"/>
  <c r="B48" i="51"/>
  <c r="B46" i="50"/>
  <c r="B21" i="24"/>
  <c r="B13" i="24"/>
  <c r="C76" i="24"/>
  <c r="B24" i="13"/>
  <c r="B16" i="13"/>
  <c r="C81" i="13"/>
  <c r="B27" i="14"/>
  <c r="B19" i="14"/>
  <c r="C75" i="14"/>
  <c r="J7" i="8"/>
  <c r="V37" i="50" l="1"/>
  <c r="V38" i="50"/>
  <c r="B50" i="10"/>
  <c r="C74" i="10"/>
  <c r="C75" i="10"/>
  <c r="C76" i="10"/>
  <c r="C77" i="10"/>
  <c r="C78" i="10"/>
  <c r="C79" i="10"/>
  <c r="C80" i="10"/>
  <c r="C81" i="10"/>
  <c r="B82" i="10"/>
  <c r="B83" i="9"/>
  <c r="B84" i="9"/>
  <c r="B85" i="9"/>
  <c r="B86" i="9"/>
  <c r="B87" i="9"/>
  <c r="B88" i="9"/>
  <c r="B78" i="10"/>
  <c r="B79" i="10"/>
  <c r="B80" i="10"/>
  <c r="B81" i="10"/>
  <c r="B74" i="10"/>
  <c r="B75" i="10"/>
  <c r="B76" i="10"/>
  <c r="C82" i="11" l="1"/>
  <c r="C82" i="10"/>
  <c r="B12" i="11"/>
  <c r="B12" i="10"/>
  <c r="B12" i="8"/>
  <c r="V19" i="50" s="1"/>
  <c r="B12" i="9"/>
  <c r="C75" i="11"/>
  <c r="C75" i="8"/>
  <c r="B25" i="11"/>
  <c r="B25" i="10"/>
  <c r="B25" i="9"/>
  <c r="B25" i="8"/>
  <c r="V32" i="50" s="1"/>
  <c r="B76" i="11"/>
  <c r="B76" i="9"/>
  <c r="B76" i="8"/>
  <c r="B68" i="11"/>
  <c r="B68" i="9"/>
  <c r="B68" i="8"/>
  <c r="C80" i="11"/>
  <c r="C80" i="8"/>
  <c r="B49" i="10"/>
  <c r="B49" i="11"/>
  <c r="B49" i="9"/>
  <c r="B49" i="8"/>
  <c r="B41" i="11"/>
  <c r="B41" i="10"/>
  <c r="B41" i="9"/>
  <c r="B41" i="8"/>
  <c r="B24" i="10"/>
  <c r="B24" i="11"/>
  <c r="B24" i="9"/>
  <c r="B24" i="8"/>
  <c r="B16" i="10"/>
  <c r="B16" i="11"/>
  <c r="B16" i="9"/>
  <c r="B16" i="8"/>
  <c r="V23" i="50" s="1"/>
  <c r="B72" i="11"/>
  <c r="B72" i="9"/>
  <c r="B72" i="8"/>
  <c r="C76" i="11"/>
  <c r="C76" i="8"/>
  <c r="B28" i="11"/>
  <c r="B28" i="10"/>
  <c r="B28" i="8"/>
  <c r="V35" i="50" s="1"/>
  <c r="B28" i="9"/>
  <c r="B71" i="11"/>
  <c r="B71" i="8"/>
  <c r="B71" i="9"/>
  <c r="B44" i="10"/>
  <c r="B44" i="11"/>
  <c r="B44" i="9"/>
  <c r="B44" i="8"/>
  <c r="B69" i="11"/>
  <c r="B69" i="9"/>
  <c r="B69" i="8"/>
  <c r="C81" i="11"/>
  <c r="C81" i="8"/>
  <c r="B42" i="11"/>
  <c r="B42" i="10"/>
  <c r="B42" i="9"/>
  <c r="B42" i="8"/>
  <c r="B67" i="11"/>
  <c r="B67" i="9"/>
  <c r="B67" i="8"/>
  <c r="C79" i="11"/>
  <c r="C79" i="8"/>
  <c r="B48" i="11"/>
  <c r="B48" i="10"/>
  <c r="B48" i="8"/>
  <c r="B48" i="9"/>
  <c r="B40" i="11"/>
  <c r="B40" i="10"/>
  <c r="B40" i="8"/>
  <c r="B40" i="9"/>
  <c r="B23" i="10"/>
  <c r="B23" i="11"/>
  <c r="B23" i="8"/>
  <c r="V30" i="50" s="1"/>
  <c r="B23" i="9"/>
  <c r="B15" i="10"/>
  <c r="B15" i="11"/>
  <c r="B15" i="8"/>
  <c r="V22" i="50" s="1"/>
  <c r="B15" i="9"/>
  <c r="B80" i="11"/>
  <c r="B80" i="9"/>
  <c r="B80" i="8"/>
  <c r="B53" i="11"/>
  <c r="B53" i="10"/>
  <c r="B53" i="9"/>
  <c r="B53" i="8"/>
  <c r="B20" i="11"/>
  <c r="B20" i="10"/>
  <c r="B20" i="8"/>
  <c r="V27" i="50" s="1"/>
  <c r="B20" i="9"/>
  <c r="B77" i="11"/>
  <c r="B77" i="9"/>
  <c r="B77" i="8"/>
  <c r="B50" i="11"/>
  <c r="B50" i="9"/>
  <c r="B50" i="8"/>
  <c r="B75" i="11"/>
  <c r="B75" i="9"/>
  <c r="B75" i="8"/>
  <c r="B74" i="11"/>
  <c r="B74" i="8"/>
  <c r="B74" i="9"/>
  <c r="B66" i="11"/>
  <c r="B66" i="8"/>
  <c r="B66" i="9"/>
  <c r="C78" i="11"/>
  <c r="C78" i="8"/>
  <c r="B55" i="11"/>
  <c r="B55" i="10"/>
  <c r="B55" i="8"/>
  <c r="B55" i="9"/>
  <c r="B47" i="11"/>
  <c r="B47" i="10"/>
  <c r="B47" i="8"/>
  <c r="B47" i="9"/>
  <c r="B39" i="11"/>
  <c r="B39" i="10"/>
  <c r="B39" i="8"/>
  <c r="B39" i="9"/>
  <c r="B22" i="11"/>
  <c r="B22" i="10"/>
  <c r="B22" i="9"/>
  <c r="B22" i="8"/>
  <c r="V29" i="50" s="1"/>
  <c r="B14" i="11"/>
  <c r="B14" i="10"/>
  <c r="B14" i="9"/>
  <c r="B14" i="8"/>
  <c r="V21" i="50" s="1"/>
  <c r="B45" i="11"/>
  <c r="B45" i="10"/>
  <c r="B45" i="9"/>
  <c r="B45" i="8"/>
  <c r="B79" i="11"/>
  <c r="B79" i="8"/>
  <c r="B79" i="9"/>
  <c r="B27" i="11"/>
  <c r="B27" i="10"/>
  <c r="B27" i="8"/>
  <c r="V34" i="50" s="1"/>
  <c r="B27" i="9"/>
  <c r="B17" i="11"/>
  <c r="B17" i="10"/>
  <c r="B17" i="9"/>
  <c r="B17" i="8"/>
  <c r="V24" i="50" s="1"/>
  <c r="B73" i="11"/>
  <c r="B73" i="8"/>
  <c r="B73" i="9"/>
  <c r="B81" i="11"/>
  <c r="B81" i="9"/>
  <c r="B81" i="8"/>
  <c r="C77" i="11"/>
  <c r="C77" i="8"/>
  <c r="B54" i="11"/>
  <c r="B54" i="10"/>
  <c r="B54" i="8"/>
  <c r="B54" i="9"/>
  <c r="B46" i="11"/>
  <c r="B46" i="10"/>
  <c r="B46" i="8"/>
  <c r="B46" i="9"/>
  <c r="B21" i="11"/>
  <c r="B21" i="10"/>
  <c r="B21" i="9"/>
  <c r="B21" i="8"/>
  <c r="V28" i="50" s="1"/>
  <c r="B13" i="10"/>
  <c r="B13" i="11"/>
  <c r="B13" i="9"/>
  <c r="B13" i="8"/>
  <c r="V20" i="50" s="1"/>
  <c r="B52" i="10"/>
  <c r="B52" i="11"/>
  <c r="B52" i="9"/>
  <c r="B52" i="8"/>
  <c r="B19" i="10"/>
  <c r="B19" i="11"/>
  <c r="B19" i="8"/>
  <c r="V26" i="50" s="1"/>
  <c r="B19" i="9"/>
  <c r="B70" i="11"/>
  <c r="B70" i="9"/>
  <c r="B70" i="8"/>
  <c r="B78" i="11"/>
  <c r="B78" i="9"/>
  <c r="B78" i="8"/>
  <c r="B82" i="11"/>
  <c r="B82" i="8"/>
  <c r="B82" i="9"/>
  <c r="C74" i="11"/>
  <c r="C74" i="8"/>
  <c r="B51" i="10"/>
  <c r="B51" i="11"/>
  <c r="B51" i="8"/>
  <c r="B51" i="9"/>
  <c r="B43" i="10"/>
  <c r="B43" i="11"/>
  <c r="B43" i="8"/>
  <c r="B43" i="9"/>
  <c r="B26" i="11"/>
  <c r="B26" i="10"/>
  <c r="B26" i="8"/>
  <c r="V33" i="50" s="1"/>
  <c r="B26" i="9"/>
  <c r="B18" i="11"/>
  <c r="B18" i="10"/>
  <c r="B18" i="8"/>
  <c r="V25" i="50" s="1"/>
  <c r="B18" i="9"/>
  <c r="B56" i="14"/>
  <c r="V65" i="50"/>
  <c r="V63" i="50"/>
  <c r="V62" i="50"/>
  <c r="V64" i="50" l="1"/>
  <c r="B28" i="51"/>
  <c r="B26" i="50"/>
  <c r="B22" i="50"/>
  <c r="B24" i="51"/>
  <c r="B22" i="51"/>
  <c r="B20" i="50"/>
  <c r="B33" i="50"/>
  <c r="B35" i="51"/>
  <c r="B33" i="51"/>
  <c r="B31" i="50"/>
  <c r="B26" i="51"/>
  <c r="B24" i="50"/>
  <c r="B29" i="50"/>
  <c r="B31" i="51"/>
  <c r="B30" i="51"/>
  <c r="B28" i="50"/>
  <c r="B32" i="51"/>
  <c r="B30" i="50"/>
  <c r="B34" i="50"/>
  <c r="B36" i="51"/>
  <c r="B21" i="51"/>
  <c r="B19" i="50"/>
  <c r="B27" i="51"/>
  <c r="B25" i="50"/>
  <c r="B29" i="51"/>
  <c r="B27" i="50"/>
  <c r="B35" i="50"/>
  <c r="B37" i="51"/>
  <c r="B25" i="51"/>
  <c r="B23" i="50"/>
  <c r="B32" i="50"/>
  <c r="B34" i="51"/>
  <c r="B23" i="51"/>
  <c r="B21" i="50"/>
  <c r="B64" i="51"/>
  <c r="B62" i="50"/>
  <c r="B63" i="50"/>
  <c r="B65" i="51"/>
  <c r="B64" i="50"/>
  <c r="B66" i="51"/>
  <c r="B67" i="51"/>
  <c r="B65" i="50"/>
  <c r="E7" i="15" l="1"/>
  <c r="E95" i="15" l="1"/>
  <c r="E6" i="15"/>
  <c r="F7" i="15"/>
  <c r="D100" i="15"/>
  <c r="J38" i="15" l="1"/>
  <c r="J11" i="15"/>
  <c r="J15" i="15"/>
  <c r="J42" i="15"/>
  <c r="D26" i="15"/>
  <c r="D27" i="15"/>
  <c r="D28" i="15"/>
  <c r="D21" i="15"/>
  <c r="D22" i="15"/>
  <c r="D23" i="15"/>
  <c r="D24" i="15"/>
  <c r="D25" i="15"/>
  <c r="E48" i="15"/>
  <c r="E49" i="15"/>
  <c r="E50" i="15"/>
  <c r="E51" i="15"/>
  <c r="E52" i="15"/>
  <c r="E53" i="15"/>
  <c r="E54" i="15"/>
  <c r="E55" i="15"/>
  <c r="J18" i="15"/>
  <c r="J45" i="15"/>
  <c r="H22" i="15"/>
  <c r="H23" i="15"/>
  <c r="H24" i="15"/>
  <c r="H25" i="15"/>
  <c r="H26" i="15"/>
  <c r="H27" i="15"/>
  <c r="H28" i="15"/>
  <c r="H21" i="15"/>
  <c r="D55" i="15"/>
  <c r="D48" i="15"/>
  <c r="D49" i="15"/>
  <c r="D50" i="15"/>
  <c r="D51" i="15"/>
  <c r="D52" i="15"/>
  <c r="D53" i="15"/>
  <c r="D54" i="15"/>
  <c r="J40" i="15"/>
  <c r="J13" i="15"/>
  <c r="G21" i="15"/>
  <c r="G22" i="15"/>
  <c r="G23" i="15"/>
  <c r="G24" i="15"/>
  <c r="G25" i="15"/>
  <c r="G26" i="15"/>
  <c r="G27" i="15"/>
  <c r="G28" i="15"/>
  <c r="J31" i="15"/>
  <c r="J16" i="15"/>
  <c r="J43" i="15"/>
  <c r="F28" i="15"/>
  <c r="F21" i="15"/>
  <c r="F22" i="15"/>
  <c r="F23" i="15"/>
  <c r="F24" i="15"/>
  <c r="F25" i="15"/>
  <c r="F26" i="15"/>
  <c r="F27" i="15"/>
  <c r="J46" i="15"/>
  <c r="J19" i="15"/>
  <c r="E27" i="15"/>
  <c r="E28" i="15"/>
  <c r="E21" i="15"/>
  <c r="E22" i="15"/>
  <c r="E23" i="15"/>
  <c r="E24" i="15"/>
  <c r="E25" i="15"/>
  <c r="E26" i="15"/>
  <c r="J30" i="15"/>
  <c r="J41" i="15"/>
  <c r="J14" i="15"/>
  <c r="H51" i="15"/>
  <c r="H52" i="15"/>
  <c r="H53" i="15"/>
  <c r="H54" i="15"/>
  <c r="H55" i="15"/>
  <c r="H48" i="15"/>
  <c r="H49" i="15"/>
  <c r="H50" i="15"/>
  <c r="J17" i="15"/>
  <c r="J44" i="15"/>
  <c r="G50" i="15"/>
  <c r="G51" i="15"/>
  <c r="G52" i="15"/>
  <c r="G53" i="15"/>
  <c r="G54" i="15"/>
  <c r="G55" i="15"/>
  <c r="G48" i="15"/>
  <c r="G49" i="15"/>
  <c r="J47" i="15"/>
  <c r="J20" i="15"/>
  <c r="J39" i="15"/>
  <c r="J12" i="15"/>
  <c r="F49" i="15"/>
  <c r="F50" i="15"/>
  <c r="F51" i="15"/>
  <c r="F52" i="15"/>
  <c r="F53" i="15"/>
  <c r="F54" i="15"/>
  <c r="F55" i="15"/>
  <c r="F48" i="15"/>
  <c r="J17" i="14"/>
  <c r="J20" i="14"/>
  <c r="J15" i="14"/>
  <c r="J18" i="14"/>
  <c r="J13" i="14"/>
  <c r="J16" i="14"/>
  <c r="J11" i="14"/>
  <c r="J19" i="14"/>
  <c r="J14" i="14"/>
  <c r="F95" i="15"/>
  <c r="F6" i="15"/>
  <c r="K11" i="15"/>
  <c r="G7" i="15"/>
  <c r="W81" i="50" l="1"/>
  <c r="W80" i="50"/>
  <c r="W87" i="50"/>
  <c r="J29" i="14"/>
  <c r="J29" i="15"/>
  <c r="J56" i="15"/>
  <c r="G95" i="15"/>
  <c r="G6" i="15"/>
  <c r="H7" i="15"/>
  <c r="A4" i="14"/>
  <c r="E15" i="14"/>
  <c r="A4" i="13"/>
  <c r="H95" i="15" l="1"/>
  <c r="H6" i="15"/>
  <c r="A4" i="24" l="1"/>
  <c r="H99" i="12"/>
  <c r="D99" i="12"/>
  <c r="D97" i="12"/>
  <c r="D98" i="12"/>
  <c r="H98" i="12"/>
  <c r="D96" i="12"/>
  <c r="A4" i="9" l="1"/>
  <c r="A4" i="10"/>
  <c r="A4" i="11"/>
  <c r="J74" i="23" l="1"/>
  <c r="K74" i="23"/>
  <c r="D74" i="23"/>
  <c r="E74" i="23"/>
  <c r="F74" i="23"/>
  <c r="G74" i="23"/>
  <c r="H74" i="23"/>
  <c r="J57" i="11"/>
  <c r="J58" i="11" l="1"/>
  <c r="J31" i="11"/>
  <c r="J7" i="14" l="1"/>
  <c r="E7" i="14"/>
  <c r="D6" i="14"/>
  <c r="J7" i="13"/>
  <c r="J95" i="13" s="1"/>
  <c r="E7" i="13"/>
  <c r="D6" i="13"/>
  <c r="J7" i="24"/>
  <c r="J95" i="24" s="1"/>
  <c r="E7" i="24"/>
  <c r="D6" i="24"/>
  <c r="J7" i="11"/>
  <c r="E7" i="11"/>
  <c r="D6" i="11"/>
  <c r="J7" i="10"/>
  <c r="E7" i="10"/>
  <c r="D6" i="10"/>
  <c r="J7" i="9"/>
  <c r="E7" i="9"/>
  <c r="D6" i="9"/>
  <c r="K30" i="9" l="1"/>
  <c r="J30" i="9"/>
  <c r="K28" i="9"/>
  <c r="F7" i="14"/>
  <c r="F7" i="13"/>
  <c r="F7" i="24"/>
  <c r="G7" i="24" s="1"/>
  <c r="F7" i="11"/>
  <c r="G7" i="11" s="1"/>
  <c r="F7" i="10"/>
  <c r="K27" i="9"/>
  <c r="D34" i="50" s="1"/>
  <c r="K18" i="9"/>
  <c r="K17" i="9"/>
  <c r="K16" i="9"/>
  <c r="K15" i="9"/>
  <c r="K14" i="9"/>
  <c r="K13" i="9"/>
  <c r="K12" i="9"/>
  <c r="F7" i="9"/>
  <c r="G7" i="9" s="1"/>
  <c r="K11" i="9"/>
  <c r="K31" i="9"/>
  <c r="K58" i="9"/>
  <c r="D31" i="9"/>
  <c r="D30" i="9"/>
  <c r="G7" i="14"/>
  <c r="F6" i="14"/>
  <c r="E6" i="14"/>
  <c r="G7" i="13"/>
  <c r="F6" i="13"/>
  <c r="E6" i="13"/>
  <c r="F6" i="24"/>
  <c r="E6" i="24"/>
  <c r="F6" i="11"/>
  <c r="E6" i="11"/>
  <c r="G7" i="10"/>
  <c r="F6" i="10"/>
  <c r="E6" i="10"/>
  <c r="E6" i="9"/>
  <c r="D38" i="50" l="1"/>
  <c r="K29" i="9"/>
  <c r="F6" i="9"/>
  <c r="H7" i="14"/>
  <c r="G6" i="14"/>
  <c r="H7" i="13"/>
  <c r="G6" i="13"/>
  <c r="G6" i="24"/>
  <c r="H7" i="24"/>
  <c r="H7" i="11"/>
  <c r="G6" i="11"/>
  <c r="H7" i="10"/>
  <c r="G6" i="10"/>
  <c r="H7" i="9"/>
  <c r="G6" i="9"/>
  <c r="K32" i="9" l="1"/>
  <c r="H6" i="14"/>
  <c r="H6" i="13"/>
  <c r="H6" i="24"/>
  <c r="H6" i="11"/>
  <c r="H6" i="10"/>
  <c r="H6" i="9"/>
  <c r="J46" i="13" l="1"/>
  <c r="J31" i="24"/>
  <c r="J40" i="11"/>
  <c r="J28" i="10"/>
  <c r="J20" i="13"/>
  <c r="J43" i="24"/>
  <c r="J39" i="11"/>
  <c r="J27" i="9"/>
  <c r="J44" i="13" l="1"/>
  <c r="J38" i="13"/>
  <c r="J11" i="13"/>
  <c r="J45" i="13"/>
  <c r="J42" i="13"/>
  <c r="J30" i="13"/>
  <c r="J57" i="13"/>
  <c r="J18" i="13"/>
  <c r="J14" i="13"/>
  <c r="J43" i="13"/>
  <c r="J19" i="13"/>
  <c r="J12" i="13"/>
  <c r="J58" i="13"/>
  <c r="J39" i="13"/>
  <c r="J40" i="13"/>
  <c r="J16" i="13"/>
  <c r="J15" i="13"/>
  <c r="J17" i="13"/>
  <c r="J31" i="13"/>
  <c r="J41" i="13"/>
  <c r="J47" i="13"/>
  <c r="J13" i="13"/>
  <c r="J14" i="24"/>
  <c r="J13" i="24"/>
  <c r="J19" i="24"/>
  <c r="J41" i="24"/>
  <c r="J18" i="24"/>
  <c r="J16" i="24"/>
  <c r="J20" i="24"/>
  <c r="J40" i="24"/>
  <c r="J30" i="24"/>
  <c r="J45" i="24"/>
  <c r="J17" i="24"/>
  <c r="J47" i="24"/>
  <c r="J15" i="24"/>
  <c r="J46" i="24"/>
  <c r="J11" i="24"/>
  <c r="J39" i="24"/>
  <c r="J12" i="24"/>
  <c r="J42" i="24"/>
  <c r="J57" i="24"/>
  <c r="J44" i="24"/>
  <c r="J58" i="24"/>
  <c r="J38" i="24"/>
  <c r="J18" i="11"/>
  <c r="J11" i="11"/>
  <c r="J47" i="11"/>
  <c r="J12" i="11"/>
  <c r="J43" i="11"/>
  <c r="J38" i="11"/>
  <c r="J19" i="11"/>
  <c r="J17" i="11"/>
  <c r="J15" i="11"/>
  <c r="J42" i="11"/>
  <c r="J13" i="11"/>
  <c r="J14" i="11"/>
  <c r="J44" i="11"/>
  <c r="J41" i="11"/>
  <c r="J30" i="11"/>
  <c r="J46" i="11"/>
  <c r="J45" i="11"/>
  <c r="J16" i="11"/>
  <c r="J20" i="11"/>
  <c r="J16" i="10"/>
  <c r="J13" i="10"/>
  <c r="J11" i="10"/>
  <c r="J12" i="10"/>
  <c r="J17" i="10"/>
  <c r="J18" i="10"/>
  <c r="J14" i="10"/>
  <c r="J19" i="10"/>
  <c r="J15" i="10"/>
  <c r="J46" i="9"/>
  <c r="J18" i="9"/>
  <c r="J44" i="9"/>
  <c r="J16" i="9"/>
  <c r="J28" i="9"/>
  <c r="J14" i="9"/>
  <c r="J40" i="9"/>
  <c r="J13" i="9"/>
  <c r="J11" i="9"/>
  <c r="J55" i="9"/>
  <c r="J38" i="9"/>
  <c r="J12" i="9"/>
  <c r="J42" i="9"/>
  <c r="J41" i="9"/>
  <c r="J15" i="9"/>
  <c r="J57" i="9"/>
  <c r="J39" i="9"/>
  <c r="J43" i="9"/>
  <c r="J31" i="9"/>
  <c r="J45" i="9"/>
  <c r="J17" i="9"/>
  <c r="J58" i="9"/>
  <c r="A4" i="8"/>
  <c r="D6" i="8"/>
  <c r="J82" i="23"/>
  <c r="K82" i="23"/>
  <c r="F19" i="8"/>
  <c r="H19" i="8"/>
  <c r="D82" i="23"/>
  <c r="E82" i="23"/>
  <c r="F82" i="23"/>
  <c r="G82" i="23"/>
  <c r="H82" i="23"/>
  <c r="J29" i="24" l="1"/>
  <c r="J56" i="24"/>
  <c r="J29" i="13"/>
  <c r="J56" i="11"/>
  <c r="J56" i="13"/>
  <c r="J29" i="11"/>
  <c r="G19" i="8"/>
  <c r="E19" i="8"/>
  <c r="D22" i="8"/>
  <c r="D21" i="8"/>
  <c r="D20" i="8"/>
  <c r="H22" i="8"/>
  <c r="H20" i="8"/>
  <c r="H21" i="8"/>
  <c r="G22" i="8"/>
  <c r="G21" i="8"/>
  <c r="G20" i="8"/>
  <c r="F22" i="8"/>
  <c r="F21" i="8"/>
  <c r="F20" i="8"/>
  <c r="J19" i="8"/>
  <c r="K19" i="8"/>
  <c r="D19" i="8"/>
  <c r="E22" i="8"/>
  <c r="E21" i="8"/>
  <c r="E20" i="8"/>
  <c r="J29" i="9"/>
  <c r="J32" i="9" s="1"/>
  <c r="A4" i="15" l="1"/>
  <c r="A4" i="12"/>
  <c r="A4" i="23"/>
  <c r="F19" i="27" l="1"/>
  <c r="J73" i="23" l="1"/>
  <c r="J72" i="23"/>
  <c r="J71" i="23"/>
  <c r="J70" i="23"/>
  <c r="J69" i="23"/>
  <c r="J68" i="23"/>
  <c r="J67" i="23"/>
  <c r="J66" i="23"/>
  <c r="J65" i="23"/>
  <c r="D65" i="23"/>
  <c r="J83" i="23" l="1"/>
  <c r="K12" i="15" l="1"/>
  <c r="K41" i="15"/>
  <c r="K13" i="15"/>
  <c r="K96" i="8"/>
  <c r="C6" i="27" s="1"/>
  <c r="K101" i="15" l="1"/>
  <c r="H20" i="14" l="1"/>
  <c r="H19" i="14"/>
  <c r="H15" i="14"/>
  <c r="F15" i="14"/>
  <c r="E13" i="14"/>
  <c r="H11" i="14"/>
  <c r="F11" i="14"/>
  <c r="E19" i="14"/>
  <c r="K99" i="12"/>
  <c r="G99" i="12"/>
  <c r="E99" i="12"/>
  <c r="F98" i="12"/>
  <c r="J96" i="12"/>
  <c r="H96" i="12"/>
  <c r="F96" i="12"/>
  <c r="H18" i="13"/>
  <c r="G45" i="13"/>
  <c r="F18" i="13"/>
  <c r="E45" i="13"/>
  <c r="D45" i="13"/>
  <c r="H14" i="13"/>
  <c r="F41" i="13"/>
  <c r="E41" i="13"/>
  <c r="D13" i="13"/>
  <c r="J7" i="12"/>
  <c r="J95" i="12" s="1"/>
  <c r="C100" i="12"/>
  <c r="J100" i="24"/>
  <c r="H100" i="24"/>
  <c r="H101" i="24" s="1"/>
  <c r="D100" i="24"/>
  <c r="C98" i="12"/>
  <c r="G90" i="12"/>
  <c r="K73" i="12"/>
  <c r="E73" i="12"/>
  <c r="D18" i="24"/>
  <c r="K69" i="12"/>
  <c r="H42" i="24"/>
  <c r="E69" i="12"/>
  <c r="G68" i="12"/>
  <c r="F66" i="12"/>
  <c r="D12" i="24"/>
  <c r="K65" i="12"/>
  <c r="E65" i="12"/>
  <c r="H19" i="24"/>
  <c r="H19" i="11"/>
  <c r="F19" i="11"/>
  <c r="E46" i="11"/>
  <c r="H15" i="11"/>
  <c r="F15" i="11"/>
  <c r="D42" i="11"/>
  <c r="H11" i="11"/>
  <c r="F38" i="11"/>
  <c r="E11" i="11"/>
  <c r="D38" i="11"/>
  <c r="E19" i="10"/>
  <c r="E17" i="10"/>
  <c r="F15" i="10"/>
  <c r="E15" i="10"/>
  <c r="D15" i="10"/>
  <c r="E13" i="10"/>
  <c r="F11" i="10"/>
  <c r="E11" i="10"/>
  <c r="G27" i="9"/>
  <c r="F46" i="9"/>
  <c r="H70" i="23"/>
  <c r="H15" i="9"/>
  <c r="G15" i="9"/>
  <c r="F15" i="9"/>
  <c r="H38" i="9"/>
  <c r="F38" i="9"/>
  <c r="D38" i="9"/>
  <c r="C101" i="8"/>
  <c r="C101" i="23" s="1"/>
  <c r="C100" i="23"/>
  <c r="D27" i="8"/>
  <c r="E11" i="8"/>
  <c r="J7" i="23"/>
  <c r="J95" i="23" s="1"/>
  <c r="D6" i="23"/>
  <c r="D94" i="23" s="1"/>
  <c r="B31" i="15"/>
  <c r="B30" i="15"/>
  <c r="B56" i="15"/>
  <c r="G19" i="15"/>
  <c r="E19" i="15"/>
  <c r="D19" i="15"/>
  <c r="H17" i="15"/>
  <c r="G17" i="15"/>
  <c r="F17" i="15"/>
  <c r="E17" i="15"/>
  <c r="D17" i="15"/>
  <c r="G15" i="15"/>
  <c r="E15" i="15"/>
  <c r="D15" i="15"/>
  <c r="G14" i="15"/>
  <c r="F41" i="15"/>
  <c r="G13" i="15"/>
  <c r="F13" i="15"/>
  <c r="E13" i="15"/>
  <c r="D13" i="15"/>
  <c r="F39" i="15"/>
  <c r="H11" i="15"/>
  <c r="G11" i="15"/>
  <c r="D11" i="15"/>
  <c r="H15" i="15"/>
  <c r="H13" i="15"/>
  <c r="C101" i="12"/>
  <c r="B101" i="12"/>
  <c r="B100" i="12"/>
  <c r="C99" i="12"/>
  <c r="B99" i="12"/>
  <c r="B98" i="12"/>
  <c r="E97" i="12"/>
  <c r="B97" i="12"/>
  <c r="B96" i="12"/>
  <c r="K7" i="12"/>
  <c r="D7" i="12"/>
  <c r="D95" i="12" s="1"/>
  <c r="B101" i="23"/>
  <c r="B100" i="23"/>
  <c r="C99" i="23"/>
  <c r="B99" i="23"/>
  <c r="C98" i="23"/>
  <c r="B98" i="23"/>
  <c r="C97" i="23"/>
  <c r="B97" i="23"/>
  <c r="C96" i="23"/>
  <c r="B96" i="23"/>
  <c r="K7" i="23"/>
  <c r="K95" i="23" s="1"/>
  <c r="B91" i="51" l="1"/>
  <c r="V89" i="50"/>
  <c r="B92" i="51"/>
  <c r="V90" i="50"/>
  <c r="G25" i="12"/>
  <c r="G23" i="12"/>
  <c r="G22" i="12"/>
  <c r="G28" i="12"/>
  <c r="G26" i="12"/>
  <c r="G21" i="12"/>
  <c r="G27" i="12"/>
  <c r="G24" i="12"/>
  <c r="C100" i="11"/>
  <c r="C100" i="9"/>
  <c r="C100" i="10"/>
  <c r="C98" i="11"/>
  <c r="C98" i="9"/>
  <c r="C98" i="10"/>
  <c r="C99" i="11"/>
  <c r="C99" i="9"/>
  <c r="C99" i="10"/>
  <c r="C97" i="11"/>
  <c r="C97" i="9"/>
  <c r="C97" i="10"/>
  <c r="C96" i="11"/>
  <c r="C96" i="9"/>
  <c r="C96" i="10"/>
  <c r="B89" i="50"/>
  <c r="B90" i="50"/>
  <c r="K95" i="8"/>
  <c r="K95" i="11"/>
  <c r="K95" i="9"/>
  <c r="K95" i="10"/>
  <c r="D68" i="23"/>
  <c r="D72" i="23"/>
  <c r="D14" i="8"/>
  <c r="E12" i="10"/>
  <c r="G68" i="23"/>
  <c r="E90" i="23"/>
  <c r="G65" i="12"/>
  <c r="E66" i="12"/>
  <c r="K66" i="12"/>
  <c r="G67" i="12"/>
  <c r="G13" i="12" s="1"/>
  <c r="E68" i="12"/>
  <c r="K68" i="12"/>
  <c r="E70" i="12"/>
  <c r="K70" i="12"/>
  <c r="G71" i="12"/>
  <c r="G17" i="12" s="1"/>
  <c r="E72" i="12"/>
  <c r="K72" i="12"/>
  <c r="G73" i="12"/>
  <c r="G19" i="12" s="1"/>
  <c r="E74" i="12"/>
  <c r="K74" i="12"/>
  <c r="K97" i="12"/>
  <c r="K65" i="23"/>
  <c r="E69" i="23"/>
  <c r="K69" i="23"/>
  <c r="G72" i="23"/>
  <c r="K73" i="23"/>
  <c r="D16" i="10"/>
  <c r="D28" i="10"/>
  <c r="E38" i="11"/>
  <c r="E12" i="11"/>
  <c r="E98" i="10"/>
  <c r="K98" i="10"/>
  <c r="E8" i="27" s="1"/>
  <c r="H16" i="8"/>
  <c r="H66" i="23"/>
  <c r="F67" i="23"/>
  <c r="F71" i="23"/>
  <c r="D67" i="12"/>
  <c r="J67" i="12"/>
  <c r="F70" i="12"/>
  <c r="D71" i="12"/>
  <c r="J71" i="12"/>
  <c r="H73" i="12"/>
  <c r="F74" i="12"/>
  <c r="H13" i="14"/>
  <c r="F14" i="9"/>
  <c r="F18" i="9"/>
  <c r="E90" i="12"/>
  <c r="G96" i="12"/>
  <c r="J97" i="12"/>
  <c r="F99" i="12"/>
  <c r="D11" i="10"/>
  <c r="E19" i="11"/>
  <c r="F14" i="24"/>
  <c r="G97" i="10"/>
  <c r="H12" i="8"/>
  <c r="G97" i="12"/>
  <c r="J98" i="12"/>
  <c r="H136" i="8"/>
  <c r="H137" i="8" s="1"/>
  <c r="D99" i="10"/>
  <c r="H18" i="9"/>
  <c r="H46" i="15"/>
  <c r="F68" i="23"/>
  <c r="D90" i="23"/>
  <c r="F44" i="24"/>
  <c r="F39" i="13"/>
  <c r="F43" i="13"/>
  <c r="F17" i="10"/>
  <c r="H90" i="12"/>
  <c r="E71" i="23"/>
  <c r="E16" i="10"/>
  <c r="K127" i="8"/>
  <c r="K128" i="8" s="1"/>
  <c r="J136" i="8"/>
  <c r="J137" i="8" s="1"/>
  <c r="F16" i="24"/>
  <c r="E127" i="8"/>
  <c r="E128" i="8" s="1"/>
  <c r="D136" i="8"/>
  <c r="D137" i="8" s="1"/>
  <c r="F90" i="23"/>
  <c r="H43" i="15"/>
  <c r="H67" i="23"/>
  <c r="D69" i="23"/>
  <c r="H71" i="23"/>
  <c r="D73" i="23"/>
  <c r="D13" i="9"/>
  <c r="H97" i="10"/>
  <c r="G15" i="13"/>
  <c r="E65" i="23"/>
  <c r="E73" i="23"/>
  <c r="F42" i="11"/>
  <c r="E27" i="8"/>
  <c r="F40" i="24"/>
  <c r="H20" i="24"/>
  <c r="F45" i="13"/>
  <c r="H12" i="13"/>
  <c r="F13" i="13"/>
  <c r="H16" i="13"/>
  <c r="F44" i="13"/>
  <c r="H14" i="14"/>
  <c r="G47" i="15"/>
  <c r="F66" i="23"/>
  <c r="F70" i="23"/>
  <c r="H73" i="23"/>
  <c r="H17" i="8"/>
  <c r="F46" i="11"/>
  <c r="F72" i="23"/>
  <c r="D18" i="10"/>
  <c r="J65" i="12"/>
  <c r="H67" i="12"/>
  <c r="D69" i="12"/>
  <c r="J69" i="12"/>
  <c r="J73" i="12"/>
  <c r="D127" i="8"/>
  <c r="D128" i="8" s="1"/>
  <c r="J127" i="8"/>
  <c r="J128" i="8" s="1"/>
  <c r="H12" i="9"/>
  <c r="D19" i="10"/>
  <c r="D17" i="11"/>
  <c r="D47" i="11"/>
  <c r="F11" i="9"/>
  <c r="D43" i="9"/>
  <c r="D55" i="9"/>
  <c r="F55" i="9"/>
  <c r="D28" i="9"/>
  <c r="H42" i="9"/>
  <c r="H19" i="15"/>
  <c r="E41" i="15"/>
  <c r="H14" i="15"/>
  <c r="H31" i="15"/>
  <c r="F38" i="15"/>
  <c r="F46" i="15"/>
  <c r="F100" i="15"/>
  <c r="F101" i="15" s="1"/>
  <c r="D20" i="11"/>
  <c r="H28" i="8"/>
  <c r="D40" i="9"/>
  <c r="F16" i="9"/>
  <c r="D17" i="9"/>
  <c r="F58" i="9"/>
  <c r="H28" i="9"/>
  <c r="H45" i="9"/>
  <c r="D14" i="10"/>
  <c r="D11" i="11"/>
  <c r="E11" i="14"/>
  <c r="D17" i="14"/>
  <c r="G12" i="9"/>
  <c r="D12" i="11"/>
  <c r="D16" i="11"/>
  <c r="D31" i="11"/>
  <c r="F65" i="23"/>
  <c r="D66" i="23"/>
  <c r="D70" i="23"/>
  <c r="F73" i="23"/>
  <c r="F13" i="9"/>
  <c r="F17" i="9"/>
  <c r="F109" i="10"/>
  <c r="F110" i="10" s="1"/>
  <c r="E118" i="10"/>
  <c r="E119" i="10" s="1"/>
  <c r="K118" i="10"/>
  <c r="K119" i="10" s="1"/>
  <c r="D15" i="11"/>
  <c r="D43" i="11"/>
  <c r="F16" i="14"/>
  <c r="E96" i="12"/>
  <c r="G98" i="12"/>
  <c r="J99" i="12"/>
  <c r="E17" i="19"/>
  <c r="G65" i="23"/>
  <c r="K66" i="23"/>
  <c r="E28" i="10"/>
  <c r="G98" i="10"/>
  <c r="K99" i="10"/>
  <c r="E9" i="27" s="1"/>
  <c r="D44" i="11"/>
  <c r="D58" i="11"/>
  <c r="G66" i="23"/>
  <c r="E67" i="23"/>
  <c r="K67" i="23"/>
  <c r="G70" i="23"/>
  <c r="K71" i="23"/>
  <c r="D44" i="24"/>
  <c r="G66" i="12"/>
  <c r="G12" i="12" s="1"/>
  <c r="E67" i="12"/>
  <c r="K67" i="12"/>
  <c r="G70" i="12"/>
  <c r="G16" i="12" s="1"/>
  <c r="E71" i="12"/>
  <c r="K71" i="12"/>
  <c r="G74" i="12"/>
  <c r="G20" i="12" s="1"/>
  <c r="D118" i="8"/>
  <c r="D119" i="8" s="1"/>
  <c r="H39" i="9"/>
  <c r="H16" i="9"/>
  <c r="H55" i="9"/>
  <c r="H31" i="9"/>
  <c r="F13" i="10"/>
  <c r="F11" i="11"/>
  <c r="H16" i="24"/>
  <c r="H46" i="24"/>
  <c r="H66" i="12"/>
  <c r="F67" i="12"/>
  <c r="D68" i="12"/>
  <c r="J68" i="12"/>
  <c r="H70" i="12"/>
  <c r="F71" i="12"/>
  <c r="D72" i="12"/>
  <c r="J72" i="12"/>
  <c r="H74" i="12"/>
  <c r="E16" i="13"/>
  <c r="E31" i="13"/>
  <c r="E30" i="13"/>
  <c r="E39" i="13"/>
  <c r="E57" i="13"/>
  <c r="E58" i="13"/>
  <c r="D11" i="13"/>
  <c r="K31" i="13"/>
  <c r="D31" i="13"/>
  <c r="K30" i="13"/>
  <c r="D30" i="13"/>
  <c r="D58" i="13"/>
  <c r="K58" i="13"/>
  <c r="K57" i="13"/>
  <c r="D57" i="13"/>
  <c r="E66" i="23"/>
  <c r="K96" i="12"/>
  <c r="H39" i="15"/>
  <c r="H43" i="9"/>
  <c r="G58" i="9"/>
  <c r="D39" i="11"/>
  <c r="H17" i="24"/>
  <c r="H31" i="24"/>
  <c r="F16" i="13"/>
  <c r="F30" i="13"/>
  <c r="F31" i="13"/>
  <c r="F57" i="13"/>
  <c r="F58" i="13"/>
  <c r="B90" i="51"/>
  <c r="E30" i="15"/>
  <c r="D18" i="8"/>
  <c r="J99" i="8"/>
  <c r="H11" i="9"/>
  <c r="D44" i="9"/>
  <c r="H13" i="9"/>
  <c r="F14" i="10"/>
  <c r="F41" i="24"/>
  <c r="F68" i="12"/>
  <c r="H44" i="24"/>
  <c r="H71" i="12"/>
  <c r="F45" i="24"/>
  <c r="F72" i="12"/>
  <c r="D19" i="24"/>
  <c r="D73" i="12"/>
  <c r="D90" i="12"/>
  <c r="D11" i="12" s="1"/>
  <c r="F17" i="13"/>
  <c r="G30" i="13"/>
  <c r="G31" i="13"/>
  <c r="G57" i="13"/>
  <c r="G58" i="13"/>
  <c r="H41" i="15"/>
  <c r="H47" i="15"/>
  <c r="F57" i="15"/>
  <c r="H109" i="8"/>
  <c r="H110" i="8" s="1"/>
  <c r="G118" i="8"/>
  <c r="G119" i="8" s="1"/>
  <c r="F127" i="8"/>
  <c r="F128" i="8" s="1"/>
  <c r="K136" i="8"/>
  <c r="K137" i="8" s="1"/>
  <c r="G14" i="9"/>
  <c r="E40" i="9"/>
  <c r="E100" i="9"/>
  <c r="E101" i="9" s="1"/>
  <c r="X13" i="50" s="1"/>
  <c r="K100" i="9"/>
  <c r="D10" i="27" s="1"/>
  <c r="E14" i="10"/>
  <c r="H12" i="24"/>
  <c r="H39" i="24"/>
  <c r="G72" i="12"/>
  <c r="G18" i="12" s="1"/>
  <c r="H30" i="13"/>
  <c r="H31" i="13"/>
  <c r="H57" i="13"/>
  <c r="H58" i="13"/>
  <c r="F97" i="12"/>
  <c r="H42" i="15"/>
  <c r="G46" i="9"/>
  <c r="H30" i="9"/>
  <c r="F12" i="9"/>
  <c r="F100" i="9"/>
  <c r="F101" i="9" s="1"/>
  <c r="F18" i="10"/>
  <c r="F38" i="24"/>
  <c r="F65" i="12"/>
  <c r="D39" i="24"/>
  <c r="D66" i="12"/>
  <c r="J66" i="12"/>
  <c r="H68" i="12"/>
  <c r="F69" i="12"/>
  <c r="D70" i="12"/>
  <c r="J70" i="12"/>
  <c r="H72" i="12"/>
  <c r="F73" i="12"/>
  <c r="D47" i="24"/>
  <c r="D74" i="12"/>
  <c r="J74" i="12"/>
  <c r="D31" i="24"/>
  <c r="F17" i="24"/>
  <c r="F90" i="12"/>
  <c r="D100" i="14"/>
  <c r="H40" i="15"/>
  <c r="E70" i="23"/>
  <c r="K70" i="23"/>
  <c r="G73" i="23"/>
  <c r="G17" i="8"/>
  <c r="D12" i="10"/>
  <c r="G15" i="24"/>
  <c r="G69" i="12"/>
  <c r="G15" i="12" s="1"/>
  <c r="D44" i="13"/>
  <c r="E98" i="12"/>
  <c r="K98" i="12"/>
  <c r="H96" i="10"/>
  <c r="F97" i="10"/>
  <c r="D98" i="10"/>
  <c r="J98" i="10"/>
  <c r="H11" i="24"/>
  <c r="H65" i="12"/>
  <c r="H15" i="24"/>
  <c r="H69" i="12"/>
  <c r="E17" i="14"/>
  <c r="F13" i="14"/>
  <c r="D14" i="14"/>
  <c r="H16" i="14"/>
  <c r="H11" i="8"/>
  <c r="H65" i="23"/>
  <c r="D67" i="23"/>
  <c r="D13" i="8"/>
  <c r="H15" i="8"/>
  <c r="H69" i="23"/>
  <c r="D17" i="8"/>
  <c r="D71" i="23"/>
  <c r="D11" i="14"/>
  <c r="D15" i="14"/>
  <c r="H17" i="14"/>
  <c r="D19" i="14"/>
  <c r="D16" i="14"/>
  <c r="H45" i="15"/>
  <c r="H18" i="15"/>
  <c r="D31" i="15"/>
  <c r="D12" i="15"/>
  <c r="D18" i="15"/>
  <c r="E11" i="24"/>
  <c r="E38" i="24"/>
  <c r="K11" i="24"/>
  <c r="E42" i="24"/>
  <c r="E15" i="24"/>
  <c r="E19" i="24"/>
  <c r="E46" i="24"/>
  <c r="E17" i="24"/>
  <c r="E13" i="24"/>
  <c r="E44" i="24"/>
  <c r="H14" i="8"/>
  <c r="H68" i="23"/>
  <c r="F15" i="8"/>
  <c r="F69" i="23"/>
  <c r="H18" i="8"/>
  <c r="H72" i="23"/>
  <c r="D13" i="11"/>
  <c r="D40" i="11"/>
  <c r="F43" i="11"/>
  <c r="F16" i="11"/>
  <c r="H14" i="11"/>
  <c r="H18" i="11"/>
  <c r="H30" i="11"/>
  <c r="H17" i="11"/>
  <c r="D18" i="9"/>
  <c r="D45" i="9"/>
  <c r="D57" i="9"/>
  <c r="F42" i="24"/>
  <c r="F15" i="24"/>
  <c r="D43" i="24"/>
  <c r="D16" i="24"/>
  <c r="H45" i="24"/>
  <c r="H18" i="24"/>
  <c r="F19" i="24"/>
  <c r="F46" i="24"/>
  <c r="G17" i="19"/>
  <c r="D15" i="8"/>
  <c r="D42" i="9"/>
  <c r="D15" i="9"/>
  <c r="H44" i="9"/>
  <c r="H17" i="9"/>
  <c r="D46" i="9"/>
  <c r="D27" i="9"/>
  <c r="F57" i="9"/>
  <c r="F30" i="9"/>
  <c r="F18" i="24"/>
  <c r="D46" i="24"/>
  <c r="D14" i="15"/>
  <c r="D16" i="15"/>
  <c r="D20" i="15"/>
  <c r="D30" i="15"/>
  <c r="H100" i="15"/>
  <c r="H101" i="15" s="1"/>
  <c r="J118" i="8"/>
  <c r="J119" i="8" s="1"/>
  <c r="J98" i="8"/>
  <c r="H40" i="9"/>
  <c r="E12" i="15"/>
  <c r="E16" i="15"/>
  <c r="D11" i="9"/>
  <c r="F11" i="24"/>
  <c r="F14" i="8"/>
  <c r="G98" i="8"/>
  <c r="H45" i="11"/>
  <c r="D58" i="24"/>
  <c r="E18" i="24"/>
  <c r="D20" i="24"/>
  <c r="D38" i="24"/>
  <c r="D11" i="24"/>
  <c r="H13" i="24"/>
  <c r="H40" i="24"/>
  <c r="F57" i="24"/>
  <c r="F30" i="24"/>
  <c r="D30" i="24"/>
  <c r="D14" i="24"/>
  <c r="D45" i="24"/>
  <c r="D41" i="24"/>
  <c r="E96" i="8"/>
  <c r="H14" i="9"/>
  <c r="H41" i="9"/>
  <c r="D16" i="9"/>
  <c r="D58" i="9"/>
  <c r="H12" i="11"/>
  <c r="H16" i="11"/>
  <c r="H20" i="11"/>
  <c r="H31" i="11"/>
  <c r="G58" i="11"/>
  <c r="D12" i="14"/>
  <c r="E13" i="8"/>
  <c r="E136" i="8"/>
  <c r="E137" i="8" s="1"/>
  <c r="F39" i="9"/>
  <c r="F28" i="9"/>
  <c r="F31" i="9"/>
  <c r="F19" i="10"/>
  <c r="H11" i="10"/>
  <c r="H13" i="11"/>
  <c r="D46" i="11"/>
  <c r="D19" i="11"/>
  <c r="F12" i="13"/>
  <c r="F19" i="14"/>
  <c r="F27" i="9"/>
  <c r="D20" i="14"/>
  <c r="H96" i="8"/>
  <c r="F97" i="8"/>
  <c r="D98" i="8"/>
  <c r="G100" i="9"/>
  <c r="G101" i="9" s="1"/>
  <c r="E96" i="10"/>
  <c r="K96" i="10"/>
  <c r="E6" i="27" s="1"/>
  <c r="G6" i="27" s="1"/>
  <c r="G99" i="10"/>
  <c r="D96" i="10"/>
  <c r="J96" i="10"/>
  <c r="H98" i="10"/>
  <c r="F99" i="10"/>
  <c r="F39" i="24"/>
  <c r="D13" i="24"/>
  <c r="F43" i="24"/>
  <c r="D17" i="24"/>
  <c r="F47" i="24"/>
  <c r="F58" i="24"/>
  <c r="D18" i="13"/>
  <c r="D38" i="13"/>
  <c r="D46" i="13"/>
  <c r="E12" i="14"/>
  <c r="E20" i="14"/>
  <c r="G118" i="10"/>
  <c r="G119" i="10" s="1"/>
  <c r="F100" i="11"/>
  <c r="F101" i="11" s="1"/>
  <c r="H38" i="24"/>
  <c r="E40" i="24"/>
  <c r="E38" i="13"/>
  <c r="E46" i="13"/>
  <c r="G17" i="13"/>
  <c r="G42" i="13"/>
  <c r="H100" i="13"/>
  <c r="H101" i="13" s="1"/>
  <c r="D13" i="14"/>
  <c r="H97" i="8"/>
  <c r="D99" i="8"/>
  <c r="E58" i="11"/>
  <c r="F13" i="24"/>
  <c r="F40" i="13"/>
  <c r="H57" i="15"/>
  <c r="H58" i="15"/>
  <c r="D13" i="10"/>
  <c r="H15" i="10"/>
  <c r="F16" i="10"/>
  <c r="D17" i="10"/>
  <c r="H19" i="10"/>
  <c r="F28" i="10"/>
  <c r="H16" i="10"/>
  <c r="H13" i="10"/>
  <c r="H17" i="10"/>
  <c r="H14" i="10"/>
  <c r="H28" i="10"/>
  <c r="H90" i="23"/>
  <c r="H18" i="10"/>
  <c r="H12" i="10"/>
  <c r="F40" i="11"/>
  <c r="F13" i="11"/>
  <c r="D41" i="11"/>
  <c r="D14" i="11"/>
  <c r="F17" i="11"/>
  <c r="F44" i="11"/>
  <c r="D18" i="11"/>
  <c r="D45" i="11"/>
  <c r="D57" i="11"/>
  <c r="D30" i="11"/>
  <c r="G14" i="8"/>
  <c r="G12" i="8"/>
  <c r="G13" i="8"/>
  <c r="G69" i="23"/>
  <c r="F12" i="10"/>
  <c r="G90" i="23"/>
  <c r="E38" i="15"/>
  <c r="E11" i="15"/>
  <c r="E38" i="9"/>
  <c r="E11" i="9"/>
  <c r="E42" i="9"/>
  <c r="E15" i="9"/>
  <c r="E46" i="9"/>
  <c r="E27" i="9"/>
  <c r="E13" i="9"/>
  <c r="E17" i="9"/>
  <c r="E44" i="9"/>
  <c r="E55" i="9"/>
  <c r="E15" i="13"/>
  <c r="E42" i="13"/>
  <c r="F17" i="27"/>
  <c r="K42" i="15"/>
  <c r="F58" i="15"/>
  <c r="E68" i="23"/>
  <c r="K68" i="23"/>
  <c r="G71" i="23"/>
  <c r="K72" i="23"/>
  <c r="G40" i="13"/>
  <c r="K16" i="13"/>
  <c r="H15" i="13"/>
  <c r="G31" i="15"/>
  <c r="E45" i="15"/>
  <c r="E100" i="15"/>
  <c r="E101" i="15" s="1"/>
  <c r="AD13" i="50" s="1"/>
  <c r="G109" i="8"/>
  <c r="G110" i="8" s="1"/>
  <c r="E12" i="9"/>
  <c r="E28" i="9"/>
  <c r="G57" i="9"/>
  <c r="G45" i="9"/>
  <c r="D100" i="9"/>
  <c r="D101" i="9" s="1"/>
  <c r="J100" i="9"/>
  <c r="J101" i="9" s="1"/>
  <c r="F96" i="10"/>
  <c r="D97" i="10"/>
  <c r="J97" i="10"/>
  <c r="H99" i="10"/>
  <c r="G13" i="13"/>
  <c r="G18" i="13"/>
  <c r="G38" i="13"/>
  <c r="G43" i="13"/>
  <c r="G46" i="13"/>
  <c r="H12" i="14"/>
  <c r="H16" i="15"/>
  <c r="F47" i="15"/>
  <c r="F17" i="14"/>
  <c r="G16" i="13"/>
  <c r="G101" i="14"/>
  <c r="G41" i="11"/>
  <c r="G11" i="13"/>
  <c r="G19" i="13"/>
  <c r="E100" i="13"/>
  <c r="E101" i="13" s="1"/>
  <c r="AB13" i="50" s="1"/>
  <c r="K100" i="13"/>
  <c r="D20" i="27" s="1"/>
  <c r="H100" i="14"/>
  <c r="G18" i="8"/>
  <c r="E109" i="8"/>
  <c r="E110" i="8" s="1"/>
  <c r="K109" i="8"/>
  <c r="K110" i="8" s="1"/>
  <c r="F136" i="8"/>
  <c r="F137" i="8" s="1"/>
  <c r="J99" i="10"/>
  <c r="G44" i="13"/>
  <c r="E43" i="13"/>
  <c r="D18" i="14"/>
  <c r="H18" i="14"/>
  <c r="H58" i="9"/>
  <c r="K15" i="13"/>
  <c r="F20" i="13"/>
  <c r="F47" i="13"/>
  <c r="D100" i="13"/>
  <c r="J100" i="13"/>
  <c r="J101" i="13" s="1"/>
  <c r="K43" i="24"/>
  <c r="H47" i="24"/>
  <c r="G14" i="12"/>
  <c r="D45" i="15"/>
  <c r="K20" i="15"/>
  <c r="K31" i="15"/>
  <c r="K17" i="15"/>
  <c r="F42" i="15"/>
  <c r="B32" i="15"/>
  <c r="B59" i="15"/>
  <c r="F20" i="15"/>
  <c r="F18" i="15"/>
  <c r="F31" i="15"/>
  <c r="D57" i="15"/>
  <c r="D44" i="15"/>
  <c r="F17" i="19"/>
  <c r="G20" i="19"/>
  <c r="H20" i="15"/>
  <c r="K30" i="15"/>
  <c r="H38" i="15"/>
  <c r="E42" i="15"/>
  <c r="F45" i="15"/>
  <c r="E40" i="15"/>
  <c r="E44" i="15"/>
  <c r="G40" i="11"/>
  <c r="G13" i="11"/>
  <c r="E18" i="11"/>
  <c r="E45" i="11"/>
  <c r="E30" i="11"/>
  <c r="K30" i="11"/>
  <c r="I17" i="19"/>
  <c r="G12" i="15"/>
  <c r="J17" i="19"/>
  <c r="G67" i="23"/>
  <c r="H12" i="15"/>
  <c r="G18" i="15"/>
  <c r="H44" i="15"/>
  <c r="E46" i="15"/>
  <c r="G30" i="15"/>
  <c r="E72" i="23"/>
  <c r="G16" i="15"/>
  <c r="H30" i="15"/>
  <c r="F43" i="15"/>
  <c r="G20" i="15"/>
  <c r="G13" i="14"/>
  <c r="E14" i="14"/>
  <c r="G17" i="14"/>
  <c r="E18" i="14"/>
  <c r="K11" i="8"/>
  <c r="K15" i="8"/>
  <c r="E15" i="8"/>
  <c r="E16" i="8"/>
  <c r="E17" i="8"/>
  <c r="E18" i="8"/>
  <c r="E12" i="8"/>
  <c r="F11" i="8"/>
  <c r="D16" i="8"/>
  <c r="F27" i="8"/>
  <c r="F17" i="8"/>
  <c r="F12" i="8"/>
  <c r="F13" i="8"/>
  <c r="F16" i="8"/>
  <c r="K11" i="11"/>
  <c r="G40" i="9"/>
  <c r="G13" i="9"/>
  <c r="E41" i="9"/>
  <c r="E14" i="9"/>
  <c r="G44" i="9"/>
  <c r="G17" i="9"/>
  <c r="E45" i="9"/>
  <c r="E18" i="9"/>
  <c r="E57" i="9"/>
  <c r="G38" i="24"/>
  <c r="G11" i="24"/>
  <c r="E12" i="24"/>
  <c r="E39" i="24"/>
  <c r="K19" i="24"/>
  <c r="G46" i="24"/>
  <c r="G19" i="24"/>
  <c r="E20" i="24"/>
  <c r="E47" i="24"/>
  <c r="G30" i="24"/>
  <c r="G14" i="24"/>
  <c r="G31" i="24"/>
  <c r="G20" i="24"/>
  <c r="G42" i="24"/>
  <c r="G39" i="24"/>
  <c r="D101" i="15"/>
  <c r="J100" i="15"/>
  <c r="J101" i="15" s="1"/>
  <c r="E39" i="9"/>
  <c r="H118" i="10"/>
  <c r="H119" i="10" s="1"/>
  <c r="E31" i="11"/>
  <c r="K18" i="10"/>
  <c r="E18" i="10"/>
  <c r="E39" i="11"/>
  <c r="K41" i="13"/>
  <c r="H20" i="13"/>
  <c r="D17" i="13"/>
  <c r="D19" i="13"/>
  <c r="D15" i="13"/>
  <c r="D40" i="13"/>
  <c r="D42" i="13"/>
  <c r="G16" i="8"/>
  <c r="K31" i="11"/>
  <c r="G12" i="24"/>
  <c r="G47" i="24"/>
  <c r="G96" i="8"/>
  <c r="E97" i="8"/>
  <c r="K97" i="8"/>
  <c r="C7" i="27" s="1"/>
  <c r="D96" i="8"/>
  <c r="J96" i="8"/>
  <c r="G38" i="9"/>
  <c r="G11" i="9"/>
  <c r="G42" i="9"/>
  <c r="K42" i="9"/>
  <c r="D22" i="50" s="1"/>
  <c r="E16" i="9"/>
  <c r="E43" i="9"/>
  <c r="E58" i="9"/>
  <c r="E31" i="9"/>
  <c r="G31" i="9"/>
  <c r="G18" i="9"/>
  <c r="G30" i="9"/>
  <c r="G28" i="9"/>
  <c r="G16" i="9"/>
  <c r="G41" i="9"/>
  <c r="G43" i="9"/>
  <c r="G55" i="9"/>
  <c r="G39" i="9"/>
  <c r="E109" i="10"/>
  <c r="E99" i="10"/>
  <c r="G38" i="11"/>
  <c r="G11" i="11"/>
  <c r="K38" i="11"/>
  <c r="K19" i="11"/>
  <c r="K46" i="11"/>
  <c r="E47" i="11"/>
  <c r="K20" i="11"/>
  <c r="E20" i="11"/>
  <c r="G12" i="11"/>
  <c r="G31" i="11"/>
  <c r="G14" i="11"/>
  <c r="G20" i="11"/>
  <c r="G47" i="11"/>
  <c r="G45" i="11"/>
  <c r="G39" i="11"/>
  <c r="G13" i="24"/>
  <c r="K41" i="24"/>
  <c r="G17" i="24"/>
  <c r="E45" i="24"/>
  <c r="K45" i="24"/>
  <c r="K18" i="24"/>
  <c r="E57" i="24"/>
  <c r="E30" i="24"/>
  <c r="G11" i="14"/>
  <c r="K11" i="14"/>
  <c r="G15" i="14"/>
  <c r="E16" i="14"/>
  <c r="G19" i="14"/>
  <c r="K19" i="14"/>
  <c r="G18" i="14"/>
  <c r="G12" i="14"/>
  <c r="G14" i="14"/>
  <c r="G16" i="14"/>
  <c r="G12" i="10"/>
  <c r="G28" i="10"/>
  <c r="K109" i="10"/>
  <c r="F118" i="10"/>
  <c r="F119" i="10" s="1"/>
  <c r="F98" i="10"/>
  <c r="F38" i="13"/>
  <c r="F11" i="13"/>
  <c r="F42" i="13"/>
  <c r="F15" i="13"/>
  <c r="F19" i="13"/>
  <c r="F46" i="13"/>
  <c r="E14" i="8"/>
  <c r="G43" i="11"/>
  <c r="G20" i="14"/>
  <c r="F99" i="8"/>
  <c r="F96" i="8"/>
  <c r="D97" i="8"/>
  <c r="H99" i="8"/>
  <c r="K55" i="9"/>
  <c r="D35" i="50" s="1"/>
  <c r="H57" i="9"/>
  <c r="H100" i="9"/>
  <c r="H101" i="9" s="1"/>
  <c r="D109" i="10"/>
  <c r="D110" i="10" s="1"/>
  <c r="J109" i="10"/>
  <c r="J110" i="10" s="1"/>
  <c r="K39" i="11"/>
  <c r="K47" i="11"/>
  <c r="H46" i="11"/>
  <c r="H100" i="11"/>
  <c r="H101" i="11" s="1"/>
  <c r="F100" i="13"/>
  <c r="F101" i="13" s="1"/>
  <c r="AC13" i="50"/>
  <c r="G43" i="24"/>
  <c r="F100" i="14"/>
  <c r="F101" i="14" s="1"/>
  <c r="K57" i="9"/>
  <c r="F31" i="24"/>
  <c r="G96" i="10"/>
  <c r="E97" i="10"/>
  <c r="K97" i="10"/>
  <c r="E7" i="27" s="1"/>
  <c r="D100" i="11"/>
  <c r="D101" i="11" s="1"/>
  <c r="J100" i="11"/>
  <c r="J101" i="11" s="1"/>
  <c r="K44" i="24"/>
  <c r="K42" i="24"/>
  <c r="D57" i="24"/>
  <c r="E100" i="24"/>
  <c r="K100" i="24"/>
  <c r="C20" i="27" s="1"/>
  <c r="F14" i="13"/>
  <c r="E44" i="13"/>
  <c r="E47" i="13"/>
  <c r="G127" i="8"/>
  <c r="G128" i="8" s="1"/>
  <c r="E99" i="8"/>
  <c r="K99" i="8"/>
  <c r="C9" i="27" s="1"/>
  <c r="G99" i="8"/>
  <c r="D118" i="10"/>
  <c r="D119" i="10" s="1"/>
  <c r="J118" i="10"/>
  <c r="J119" i="10" s="1"/>
  <c r="E57" i="11"/>
  <c r="E100" i="11"/>
  <c r="E101" i="11" s="1"/>
  <c r="Z13" i="50" s="1"/>
  <c r="K100" i="11"/>
  <c r="F10" i="27" s="1"/>
  <c r="K17" i="24"/>
  <c r="D40" i="24"/>
  <c r="H43" i="24"/>
  <c r="G45" i="24"/>
  <c r="H109" i="10"/>
  <c r="H110" i="10" s="1"/>
  <c r="K40" i="24"/>
  <c r="H41" i="24"/>
  <c r="H57" i="24"/>
  <c r="G100" i="24"/>
  <c r="G101" i="24" s="1"/>
  <c r="E40" i="13"/>
  <c r="D17" i="19"/>
  <c r="B3" i="16"/>
  <c r="D94" i="11"/>
  <c r="D94" i="9"/>
  <c r="D94" i="10"/>
  <c r="D94" i="8"/>
  <c r="J95" i="11"/>
  <c r="J95" i="9"/>
  <c r="J95" i="10"/>
  <c r="J95" i="8"/>
  <c r="G19" i="19"/>
  <c r="H17" i="19"/>
  <c r="B66" i="10"/>
  <c r="B68" i="10"/>
  <c r="B70" i="10"/>
  <c r="B72" i="10"/>
  <c r="B56" i="24"/>
  <c r="B56" i="13"/>
  <c r="B63" i="14"/>
  <c r="B63" i="13"/>
  <c r="B63" i="24"/>
  <c r="B84" i="14"/>
  <c r="B84" i="13"/>
  <c r="B84" i="24"/>
  <c r="B86" i="13"/>
  <c r="B86" i="14"/>
  <c r="B86" i="24"/>
  <c r="B88" i="14"/>
  <c r="B88" i="13"/>
  <c r="B88" i="24"/>
  <c r="K39" i="15"/>
  <c r="E39" i="15"/>
  <c r="K14" i="15"/>
  <c r="E14" i="15"/>
  <c r="K43" i="15"/>
  <c r="E43" i="15"/>
  <c r="K18" i="15"/>
  <c r="E18" i="15"/>
  <c r="K47" i="15"/>
  <c r="E47" i="15"/>
  <c r="E57" i="15"/>
  <c r="E58" i="15"/>
  <c r="G57" i="15"/>
  <c r="G40" i="15"/>
  <c r="G45" i="15"/>
  <c r="G42" i="15"/>
  <c r="G41" i="15"/>
  <c r="G58" i="15"/>
  <c r="G46" i="15"/>
  <c r="G38" i="15"/>
  <c r="B11" i="11"/>
  <c r="B11" i="10"/>
  <c r="B11" i="9"/>
  <c r="B11" i="8"/>
  <c r="V18" i="50" s="1"/>
  <c r="B30" i="11"/>
  <c r="B30" i="10"/>
  <c r="B30" i="9"/>
  <c r="B30" i="8"/>
  <c r="B38" i="11"/>
  <c r="B38" i="10"/>
  <c r="B38" i="9"/>
  <c r="B38" i="8"/>
  <c r="B65" i="13"/>
  <c r="B65" i="24"/>
  <c r="B65" i="14"/>
  <c r="B67" i="14"/>
  <c r="B69" i="14"/>
  <c r="B71" i="14"/>
  <c r="B73" i="14"/>
  <c r="B83" i="13"/>
  <c r="B83" i="14"/>
  <c r="B83" i="24"/>
  <c r="E20" i="15"/>
  <c r="G39" i="15"/>
  <c r="F12" i="15"/>
  <c r="B90" i="10"/>
  <c r="B90" i="11"/>
  <c r="B90" i="8"/>
  <c r="B90" i="9"/>
  <c r="D95" i="23"/>
  <c r="B59" i="14"/>
  <c r="B59" i="13"/>
  <c r="B59" i="24"/>
  <c r="C91" i="14"/>
  <c r="C91" i="24"/>
  <c r="C91" i="13"/>
  <c r="F14" i="15"/>
  <c r="G43" i="15"/>
  <c r="G44" i="15"/>
  <c r="B56" i="11"/>
  <c r="B56" i="10"/>
  <c r="B56" i="8"/>
  <c r="B56" i="9"/>
  <c r="B63" i="11"/>
  <c r="B63" i="10"/>
  <c r="B63" i="9"/>
  <c r="B63" i="8"/>
  <c r="B84" i="11"/>
  <c r="B84" i="10"/>
  <c r="B84" i="8"/>
  <c r="B86" i="11"/>
  <c r="B86" i="10"/>
  <c r="B86" i="8"/>
  <c r="B88" i="11"/>
  <c r="B88" i="10"/>
  <c r="B88" i="8"/>
  <c r="D94" i="14"/>
  <c r="D94" i="24"/>
  <c r="D94" i="13"/>
  <c r="D95" i="14"/>
  <c r="D95" i="24"/>
  <c r="D95" i="13"/>
  <c r="J95" i="14"/>
  <c r="B31" i="11"/>
  <c r="B31" i="10"/>
  <c r="B31" i="8"/>
  <c r="B31" i="9"/>
  <c r="B65" i="10"/>
  <c r="B65" i="11"/>
  <c r="B65" i="9"/>
  <c r="B65" i="8"/>
  <c r="B67" i="10"/>
  <c r="B69" i="10"/>
  <c r="B71" i="10"/>
  <c r="B73" i="10"/>
  <c r="B83" i="10"/>
  <c r="B83" i="11"/>
  <c r="B83" i="8"/>
  <c r="B85" i="14"/>
  <c r="B85" i="24"/>
  <c r="B85" i="13"/>
  <c r="B87" i="13"/>
  <c r="B87" i="14"/>
  <c r="B87" i="24"/>
  <c r="B59" i="11"/>
  <c r="B59" i="10"/>
  <c r="B59" i="8"/>
  <c r="B59" i="9"/>
  <c r="C91" i="9"/>
  <c r="C91" i="11"/>
  <c r="C91" i="10"/>
  <c r="C91" i="8"/>
  <c r="B66" i="14"/>
  <c r="B68" i="14"/>
  <c r="B70" i="14"/>
  <c r="B72" i="14"/>
  <c r="B74" i="14"/>
  <c r="K38" i="15"/>
  <c r="F11" i="15"/>
  <c r="F40" i="15"/>
  <c r="K40" i="15"/>
  <c r="F15" i="15"/>
  <c r="K15" i="15"/>
  <c r="F44" i="15"/>
  <c r="K44" i="15"/>
  <c r="K46" i="15"/>
  <c r="F19" i="15"/>
  <c r="K19" i="15"/>
  <c r="F30" i="15"/>
  <c r="F16" i="15"/>
  <c r="D41" i="15"/>
  <c r="D58" i="15"/>
  <c r="D46" i="15"/>
  <c r="D38" i="15"/>
  <c r="D43" i="15"/>
  <c r="D42" i="15"/>
  <c r="D39" i="15"/>
  <c r="B29" i="14"/>
  <c r="B29" i="13"/>
  <c r="B29" i="24"/>
  <c r="B32" i="14"/>
  <c r="B32" i="13"/>
  <c r="B32" i="24"/>
  <c r="G94" i="14"/>
  <c r="G94" i="13"/>
  <c r="G94" i="24"/>
  <c r="K16" i="15"/>
  <c r="E31" i="15"/>
  <c r="D40" i="15"/>
  <c r="K45" i="15"/>
  <c r="D47" i="15"/>
  <c r="G100" i="15"/>
  <c r="G101" i="15" s="1"/>
  <c r="B29" i="11"/>
  <c r="B29" i="10"/>
  <c r="B29" i="8"/>
  <c r="V36" i="50" s="1"/>
  <c r="B29" i="9"/>
  <c r="B32" i="11"/>
  <c r="B32" i="10"/>
  <c r="B32" i="8"/>
  <c r="V39" i="50" s="1"/>
  <c r="B32" i="9"/>
  <c r="B85" i="11"/>
  <c r="B85" i="10"/>
  <c r="B85" i="8"/>
  <c r="B87" i="10"/>
  <c r="B87" i="11"/>
  <c r="B87" i="8"/>
  <c r="B90" i="14"/>
  <c r="B90" i="24"/>
  <c r="B90" i="13"/>
  <c r="H94" i="14"/>
  <c r="H94" i="13"/>
  <c r="H94" i="24"/>
  <c r="C66" i="11"/>
  <c r="C66" i="9"/>
  <c r="C66" i="10"/>
  <c r="C66" i="8"/>
  <c r="C68" i="11"/>
  <c r="C68" i="9"/>
  <c r="C68" i="10"/>
  <c r="C68" i="8"/>
  <c r="C70" i="11"/>
  <c r="C70" i="9"/>
  <c r="C70" i="10"/>
  <c r="C70" i="8"/>
  <c r="C72" i="11"/>
  <c r="C72" i="9"/>
  <c r="C72" i="10"/>
  <c r="C72" i="8"/>
  <c r="C82" i="9"/>
  <c r="C82" i="8"/>
  <c r="C84" i="11"/>
  <c r="C84" i="9"/>
  <c r="C84" i="10"/>
  <c r="C84" i="8"/>
  <c r="C86" i="11"/>
  <c r="C86" i="9"/>
  <c r="C86" i="10"/>
  <c r="C86" i="8"/>
  <c r="C88" i="11"/>
  <c r="C88" i="9"/>
  <c r="C88" i="10"/>
  <c r="C88" i="8"/>
  <c r="B31" i="14"/>
  <c r="B31" i="13"/>
  <c r="B31" i="24"/>
  <c r="B58" i="13"/>
  <c r="B58" i="14"/>
  <c r="B58" i="24"/>
  <c r="C65" i="14"/>
  <c r="C65" i="13"/>
  <c r="C65" i="24"/>
  <c r="C67" i="14"/>
  <c r="C67" i="13"/>
  <c r="C69" i="14"/>
  <c r="C69" i="13"/>
  <c r="C71" i="14"/>
  <c r="C71" i="13"/>
  <c r="C73" i="14"/>
  <c r="C73" i="13"/>
  <c r="C83" i="14"/>
  <c r="C83" i="13"/>
  <c r="C85" i="13"/>
  <c r="C85" i="14"/>
  <c r="C87" i="13"/>
  <c r="C87" i="14"/>
  <c r="C90" i="13"/>
  <c r="C90" i="14"/>
  <c r="C90" i="24"/>
  <c r="B57" i="11"/>
  <c r="B57" i="10"/>
  <c r="B57" i="9"/>
  <c r="B57" i="8"/>
  <c r="B62" i="11"/>
  <c r="B62" i="10"/>
  <c r="B62" i="9"/>
  <c r="B62" i="8"/>
  <c r="B91" i="13"/>
  <c r="B91" i="14"/>
  <c r="B91" i="24"/>
  <c r="B58" i="11"/>
  <c r="B58" i="10"/>
  <c r="B58" i="9"/>
  <c r="B58" i="8"/>
  <c r="C65" i="11"/>
  <c r="C65" i="10"/>
  <c r="C65" i="9"/>
  <c r="C65" i="8"/>
  <c r="C67" i="11"/>
  <c r="C67" i="10"/>
  <c r="C67" i="9"/>
  <c r="C67" i="8"/>
  <c r="C69" i="11"/>
  <c r="C69" i="10"/>
  <c r="C69" i="9"/>
  <c r="C69" i="8"/>
  <c r="C71" i="11"/>
  <c r="C71" i="10"/>
  <c r="C71" i="9"/>
  <c r="C71" i="8"/>
  <c r="C73" i="11"/>
  <c r="C73" i="10"/>
  <c r="C73" i="9"/>
  <c r="C73" i="8"/>
  <c r="C83" i="11"/>
  <c r="C83" i="10"/>
  <c r="C83" i="9"/>
  <c r="C83" i="8"/>
  <c r="C85" i="11"/>
  <c r="C85" i="10"/>
  <c r="C85" i="9"/>
  <c r="C85" i="8"/>
  <c r="C87" i="11"/>
  <c r="C87" i="10"/>
  <c r="C87" i="9"/>
  <c r="C87" i="8"/>
  <c r="C90" i="11"/>
  <c r="C90" i="10"/>
  <c r="C90" i="9"/>
  <c r="C90" i="8"/>
  <c r="C66" i="14"/>
  <c r="C66" i="13"/>
  <c r="C68" i="14"/>
  <c r="C68" i="13"/>
  <c r="C70" i="14"/>
  <c r="C70" i="13"/>
  <c r="C72" i="14"/>
  <c r="C72" i="13"/>
  <c r="C74" i="14"/>
  <c r="C74" i="13"/>
  <c r="C84" i="14"/>
  <c r="C84" i="13"/>
  <c r="C86" i="14"/>
  <c r="C86" i="13"/>
  <c r="C88" i="14"/>
  <c r="C88" i="13"/>
  <c r="E94" i="14"/>
  <c r="E94" i="24"/>
  <c r="E94" i="13"/>
  <c r="K95" i="14"/>
  <c r="K95" i="24"/>
  <c r="K95" i="13"/>
  <c r="B91" i="11"/>
  <c r="B91" i="9"/>
  <c r="B91" i="10"/>
  <c r="B91" i="8"/>
  <c r="B11" i="13"/>
  <c r="B11" i="14"/>
  <c r="B11" i="24"/>
  <c r="B30" i="13"/>
  <c r="B30" i="14"/>
  <c r="B30" i="24"/>
  <c r="B38" i="14"/>
  <c r="B38" i="13"/>
  <c r="B38" i="24"/>
  <c r="B57" i="14"/>
  <c r="B57" i="13"/>
  <c r="B57" i="24"/>
  <c r="B62" i="14"/>
  <c r="B62" i="24"/>
  <c r="B62" i="13"/>
  <c r="F94" i="14"/>
  <c r="F94" i="24"/>
  <c r="F94" i="13"/>
  <c r="F18" i="8"/>
  <c r="K18" i="8"/>
  <c r="K16" i="8"/>
  <c r="E118" i="8"/>
  <c r="E119" i="8" s="1"/>
  <c r="E98" i="8"/>
  <c r="K118" i="8"/>
  <c r="K119" i="8" s="1"/>
  <c r="K98" i="8"/>
  <c r="C8" i="27" s="1"/>
  <c r="E7" i="8"/>
  <c r="K27" i="8"/>
  <c r="D41" i="9"/>
  <c r="D14" i="9"/>
  <c r="K41" i="9"/>
  <c r="D21" i="50" s="1"/>
  <c r="K28" i="8"/>
  <c r="D28" i="8"/>
  <c r="K14" i="8"/>
  <c r="G27" i="8"/>
  <c r="E28" i="8"/>
  <c r="J97" i="8"/>
  <c r="K13" i="8"/>
  <c r="H27" i="8"/>
  <c r="K17" i="8"/>
  <c r="G28" i="8"/>
  <c r="G97" i="8"/>
  <c r="G15" i="8"/>
  <c r="F28" i="8"/>
  <c r="F118" i="8"/>
  <c r="F119" i="8" s="1"/>
  <c r="G136" i="8"/>
  <c r="G137" i="8" s="1"/>
  <c r="K16" i="10"/>
  <c r="H118" i="8"/>
  <c r="H119" i="8" s="1"/>
  <c r="H98" i="8"/>
  <c r="F45" i="11"/>
  <c r="F18" i="11"/>
  <c r="K45" i="11"/>
  <c r="K18" i="11"/>
  <c r="H13" i="8"/>
  <c r="J109" i="8"/>
  <c r="K38" i="9"/>
  <c r="D18" i="50" s="1"/>
  <c r="K39" i="9"/>
  <c r="D39" i="9"/>
  <c r="D12" i="9"/>
  <c r="G11" i="8"/>
  <c r="D12" i="8"/>
  <c r="K12" i="8"/>
  <c r="F109" i="8"/>
  <c r="F98" i="8"/>
  <c r="H127" i="8"/>
  <c r="H128" i="8" s="1"/>
  <c r="K46" i="9"/>
  <c r="D26" i="50" s="1"/>
  <c r="F43" i="9"/>
  <c r="K43" i="9"/>
  <c r="D23" i="50" s="1"/>
  <c r="F40" i="9"/>
  <c r="F45" i="9"/>
  <c r="K40" i="9"/>
  <c r="D20" i="50" s="1"/>
  <c r="K45" i="9"/>
  <c r="D25" i="50" s="1"/>
  <c r="F42" i="9"/>
  <c r="F44" i="9"/>
  <c r="K44" i="9"/>
  <c r="D24" i="50" s="1"/>
  <c r="F41" i="9"/>
  <c r="G15" i="10"/>
  <c r="G109" i="10"/>
  <c r="H27" i="9"/>
  <c r="H46" i="9"/>
  <c r="K28" i="10"/>
  <c r="K14" i="10"/>
  <c r="K19" i="10"/>
  <c r="G19" i="10"/>
  <c r="G42" i="11"/>
  <c r="G15" i="11"/>
  <c r="G13" i="10"/>
  <c r="K13" i="10"/>
  <c r="G57" i="11"/>
  <c r="K57" i="11"/>
  <c r="K40" i="11"/>
  <c r="E40" i="11"/>
  <c r="K13" i="11"/>
  <c r="E13" i="11"/>
  <c r="K12" i="10"/>
  <c r="G17" i="10"/>
  <c r="K17" i="10"/>
  <c r="K11" i="10"/>
  <c r="G11" i="10"/>
  <c r="G16" i="10"/>
  <c r="G18" i="10"/>
  <c r="G14" i="10"/>
  <c r="H38" i="11"/>
  <c r="F39" i="11"/>
  <c r="F12" i="11"/>
  <c r="K42" i="11"/>
  <c r="E42" i="11"/>
  <c r="K15" i="11"/>
  <c r="E15" i="11"/>
  <c r="G44" i="11"/>
  <c r="G17" i="11"/>
  <c r="F47" i="11"/>
  <c r="F20" i="11"/>
  <c r="H43" i="11"/>
  <c r="H40" i="11"/>
  <c r="H42" i="11"/>
  <c r="H58" i="11"/>
  <c r="H47" i="11"/>
  <c r="H39" i="11"/>
  <c r="H41" i="11"/>
  <c r="K15" i="10"/>
  <c r="H44" i="11"/>
  <c r="K43" i="11"/>
  <c r="K16" i="11"/>
  <c r="F58" i="11"/>
  <c r="F31" i="11"/>
  <c r="E14" i="11"/>
  <c r="E16" i="11"/>
  <c r="K12" i="11"/>
  <c r="K58" i="11"/>
  <c r="E41" i="11"/>
  <c r="E43" i="11"/>
  <c r="G100" i="11"/>
  <c r="G101" i="11" s="1"/>
  <c r="H57" i="11"/>
  <c r="F41" i="11"/>
  <c r="F14" i="11"/>
  <c r="K41" i="11"/>
  <c r="K14" i="11"/>
  <c r="K44" i="11"/>
  <c r="E44" i="11"/>
  <c r="K17" i="11"/>
  <c r="E17" i="11"/>
  <c r="G46" i="11"/>
  <c r="G19" i="11"/>
  <c r="F57" i="11"/>
  <c r="F30" i="11"/>
  <c r="G30" i="11"/>
  <c r="G16" i="11"/>
  <c r="G18" i="11"/>
  <c r="K30" i="24"/>
  <c r="K38" i="24"/>
  <c r="G40" i="24"/>
  <c r="K46" i="24"/>
  <c r="K58" i="24"/>
  <c r="E58" i="24"/>
  <c r="K44" i="13"/>
  <c r="H17" i="13"/>
  <c r="K17" i="13"/>
  <c r="H44" i="13"/>
  <c r="H43" i="13"/>
  <c r="H45" i="13"/>
  <c r="H47" i="13"/>
  <c r="H39" i="13"/>
  <c r="E14" i="24"/>
  <c r="K14" i="24"/>
  <c r="G16" i="24"/>
  <c r="E41" i="24"/>
  <c r="G57" i="24"/>
  <c r="D101" i="24"/>
  <c r="J101" i="24"/>
  <c r="H40" i="13"/>
  <c r="K42" i="13"/>
  <c r="H38" i="13"/>
  <c r="K38" i="13"/>
  <c r="H11" i="13"/>
  <c r="K11" i="13"/>
  <c r="D16" i="13"/>
  <c r="K43" i="13"/>
  <c r="D43" i="13"/>
  <c r="K13" i="14"/>
  <c r="F18" i="14"/>
  <c r="K18" i="14"/>
  <c r="G58" i="24"/>
  <c r="G12" i="13"/>
  <c r="G39" i="13"/>
  <c r="G100" i="13"/>
  <c r="F12" i="14"/>
  <c r="K12" i="14"/>
  <c r="K12" i="24"/>
  <c r="D15" i="24"/>
  <c r="K20" i="24"/>
  <c r="H30" i="24"/>
  <c r="E31" i="24"/>
  <c r="K31" i="24"/>
  <c r="C64" i="50" s="1"/>
  <c r="K39" i="24"/>
  <c r="G41" i="24"/>
  <c r="D42" i="24"/>
  <c r="K47" i="24"/>
  <c r="K57" i="24"/>
  <c r="H58" i="24"/>
  <c r="F100" i="24"/>
  <c r="H42" i="13"/>
  <c r="K47" i="13"/>
  <c r="D47" i="13"/>
  <c r="K20" i="13"/>
  <c r="D20" i="13"/>
  <c r="K17" i="14"/>
  <c r="F12" i="24"/>
  <c r="H14" i="24"/>
  <c r="K15" i="24"/>
  <c r="F20" i="24"/>
  <c r="G44" i="24"/>
  <c r="D41" i="13"/>
  <c r="K14" i="13"/>
  <c r="D14" i="13"/>
  <c r="E13" i="13"/>
  <c r="E18" i="13"/>
  <c r="E20" i="13"/>
  <c r="E12" i="13"/>
  <c r="E17" i="13"/>
  <c r="E14" i="13"/>
  <c r="E19" i="13"/>
  <c r="E11" i="13"/>
  <c r="K16" i="14"/>
  <c r="H46" i="13"/>
  <c r="K46" i="13"/>
  <c r="H19" i="13"/>
  <c r="K19" i="13"/>
  <c r="K13" i="24"/>
  <c r="D6" i="12"/>
  <c r="K13" i="13"/>
  <c r="K40" i="13"/>
  <c r="H13" i="13"/>
  <c r="K18" i="13"/>
  <c r="K45" i="13"/>
  <c r="G20" i="13"/>
  <c r="G47" i="13"/>
  <c r="K15" i="14"/>
  <c r="E16" i="24"/>
  <c r="K16" i="24"/>
  <c r="G18" i="24"/>
  <c r="E43" i="24"/>
  <c r="H41" i="13"/>
  <c r="K39" i="13"/>
  <c r="D39" i="13"/>
  <c r="K12" i="13"/>
  <c r="D12" i="13"/>
  <c r="G41" i="13"/>
  <c r="G14" i="13"/>
  <c r="F14" i="14"/>
  <c r="K14" i="14"/>
  <c r="K20" i="14"/>
  <c r="F20" i="14"/>
  <c r="F24" i="50" l="1"/>
  <c r="F20" i="50"/>
  <c r="F25" i="50"/>
  <c r="H83" i="12"/>
  <c r="K83" i="12"/>
  <c r="E83" i="12"/>
  <c r="F83" i="12"/>
  <c r="E56" i="9"/>
  <c r="E59" i="9" s="1"/>
  <c r="J83" i="12"/>
  <c r="F29" i="24"/>
  <c r="F32" i="24" s="1"/>
  <c r="G11" i="12"/>
  <c r="G29" i="12" s="1"/>
  <c r="G83" i="12"/>
  <c r="J13" i="23"/>
  <c r="D83" i="12"/>
  <c r="C34" i="50"/>
  <c r="F23" i="50"/>
  <c r="W72" i="50"/>
  <c r="F26" i="50"/>
  <c r="F22" i="50"/>
  <c r="F27" i="50"/>
  <c r="D37" i="50"/>
  <c r="D10" i="50" s="1"/>
  <c r="F38" i="50"/>
  <c r="F18" i="50"/>
  <c r="F21" i="50"/>
  <c r="F37" i="50"/>
  <c r="D19" i="50"/>
  <c r="D36" i="50" s="1"/>
  <c r="F19" i="50"/>
  <c r="F7" i="50" s="1"/>
  <c r="W79" i="50"/>
  <c r="D52" i="50"/>
  <c r="W70" i="50"/>
  <c r="D44" i="50"/>
  <c r="W74" i="50"/>
  <c r="W73" i="50"/>
  <c r="W90" i="50"/>
  <c r="W89" i="50"/>
  <c r="C49" i="50"/>
  <c r="C46" i="50"/>
  <c r="D53" i="50"/>
  <c r="C47" i="50"/>
  <c r="K101" i="9"/>
  <c r="C50" i="50"/>
  <c r="Z37" i="50"/>
  <c r="Z24" i="50"/>
  <c r="Z30" i="50"/>
  <c r="Z23" i="50"/>
  <c r="Z25" i="50"/>
  <c r="Z33" i="50"/>
  <c r="Z27" i="50"/>
  <c r="Z31" i="50"/>
  <c r="Z22" i="50"/>
  <c r="Z34" i="50"/>
  <c r="Z28" i="50"/>
  <c r="Z35" i="50"/>
  <c r="Z26" i="50"/>
  <c r="Z32" i="50"/>
  <c r="Z20" i="50"/>
  <c r="Z29" i="50"/>
  <c r="Z21" i="50"/>
  <c r="Z19" i="50"/>
  <c r="Z7" i="50" s="1"/>
  <c r="W85" i="50"/>
  <c r="W86" i="50"/>
  <c r="W83" i="50"/>
  <c r="W84" i="50"/>
  <c r="W77" i="50"/>
  <c r="W76" i="50"/>
  <c r="W75" i="50"/>
  <c r="W82" i="50"/>
  <c r="W78" i="50"/>
  <c r="W45" i="50"/>
  <c r="AA7" i="50" s="1"/>
  <c r="W52" i="50"/>
  <c r="W50" i="50"/>
  <c r="W51" i="50"/>
  <c r="W44" i="50"/>
  <c r="W49" i="50"/>
  <c r="W55" i="50"/>
  <c r="W59" i="50"/>
  <c r="W57" i="50"/>
  <c r="W48" i="50"/>
  <c r="W54" i="50"/>
  <c r="W56" i="50"/>
  <c r="W53" i="50"/>
  <c r="W61" i="50"/>
  <c r="W58" i="50"/>
  <c r="W46" i="50"/>
  <c r="W47" i="50"/>
  <c r="W60" i="50"/>
  <c r="X45" i="50"/>
  <c r="AB7" i="50" s="1"/>
  <c r="X52" i="50"/>
  <c r="X50" i="50"/>
  <c r="X47" i="50"/>
  <c r="X49" i="50"/>
  <c r="X51" i="50"/>
  <c r="X53" i="50"/>
  <c r="X44" i="50"/>
  <c r="X57" i="50"/>
  <c r="X59" i="50"/>
  <c r="X54" i="50"/>
  <c r="X55" i="50"/>
  <c r="X56" i="50"/>
  <c r="X46" i="50"/>
  <c r="X61" i="50"/>
  <c r="X48" i="50"/>
  <c r="X58" i="50"/>
  <c r="X60" i="50"/>
  <c r="Y58" i="50"/>
  <c r="Y60" i="50"/>
  <c r="Y57" i="50"/>
  <c r="Y59" i="50"/>
  <c r="Y56" i="50"/>
  <c r="Y61" i="50"/>
  <c r="W33" i="50"/>
  <c r="W32" i="50"/>
  <c r="W34" i="50"/>
  <c r="Z18" i="50"/>
  <c r="X18" i="50"/>
  <c r="W71" i="50"/>
  <c r="AD7" i="50" s="1"/>
  <c r="X33" i="50"/>
  <c r="X28" i="50"/>
  <c r="X26" i="50"/>
  <c r="X32" i="50"/>
  <c r="X24" i="50"/>
  <c r="X19" i="50"/>
  <c r="X7" i="50" s="1"/>
  <c r="X27" i="50"/>
  <c r="X25" i="50"/>
  <c r="X35" i="50"/>
  <c r="X34" i="50"/>
  <c r="X20" i="50"/>
  <c r="X30" i="50"/>
  <c r="X23" i="50"/>
  <c r="X21" i="50"/>
  <c r="X22" i="50"/>
  <c r="X31" i="50"/>
  <c r="X29" i="50"/>
  <c r="Y33" i="50"/>
  <c r="Y34" i="50"/>
  <c r="Y32" i="50"/>
  <c r="X38" i="50"/>
  <c r="Z38" i="50"/>
  <c r="X64" i="50"/>
  <c r="X63" i="50"/>
  <c r="W63" i="50"/>
  <c r="W64" i="50"/>
  <c r="E13" i="51"/>
  <c r="J13" i="50"/>
  <c r="B93" i="51"/>
  <c r="V91" i="50"/>
  <c r="C51" i="50"/>
  <c r="C48" i="50"/>
  <c r="D45" i="50"/>
  <c r="H7" i="50" s="1"/>
  <c r="D47" i="50"/>
  <c r="D50" i="50"/>
  <c r="D51" i="50"/>
  <c r="D46" i="50"/>
  <c r="D48" i="50"/>
  <c r="D49" i="50"/>
  <c r="D63" i="50"/>
  <c r="D64" i="50"/>
  <c r="D6" i="50"/>
  <c r="D8" i="50"/>
  <c r="C74" i="51"/>
  <c r="C72" i="50"/>
  <c r="C70" i="50"/>
  <c r="C72" i="51"/>
  <c r="C73" i="51"/>
  <c r="E7" i="51" s="1"/>
  <c r="C71" i="50"/>
  <c r="J7" i="50" s="1"/>
  <c r="C53" i="50"/>
  <c r="C45" i="50"/>
  <c r="G7" i="50" s="1"/>
  <c r="C63" i="50"/>
  <c r="G10" i="50" s="1"/>
  <c r="C52" i="50"/>
  <c r="C44" i="50"/>
  <c r="E100" i="10"/>
  <c r="E101" i="10" s="1"/>
  <c r="Y13" i="50" s="1"/>
  <c r="H98" i="23"/>
  <c r="C77" i="50"/>
  <c r="C79" i="51"/>
  <c r="C76" i="50"/>
  <c r="C78" i="51"/>
  <c r="C75" i="50"/>
  <c r="C77" i="51"/>
  <c r="C81" i="51"/>
  <c r="C79" i="50"/>
  <c r="C90" i="50"/>
  <c r="C92" i="51"/>
  <c r="E101" i="51" s="1"/>
  <c r="C80" i="51"/>
  <c r="C78" i="50"/>
  <c r="C91" i="51"/>
  <c r="C89" i="50"/>
  <c r="C73" i="50"/>
  <c r="C75" i="51"/>
  <c r="C74" i="50"/>
  <c r="C76" i="51"/>
  <c r="G98" i="23"/>
  <c r="K101" i="13"/>
  <c r="H13" i="50" s="1"/>
  <c r="K29" i="13"/>
  <c r="G29" i="24"/>
  <c r="G32" i="24" s="1"/>
  <c r="H29" i="11"/>
  <c r="H32" i="11" s="1"/>
  <c r="F56" i="11"/>
  <c r="F59" i="11" s="1"/>
  <c r="G56" i="11"/>
  <c r="G59" i="11" s="1"/>
  <c r="F29" i="11"/>
  <c r="E29" i="11"/>
  <c r="D56" i="11"/>
  <c r="D59" i="11" s="1"/>
  <c r="G29" i="13"/>
  <c r="G32" i="13" s="1"/>
  <c r="E56" i="13"/>
  <c r="D29" i="24"/>
  <c r="D32" i="24" s="1"/>
  <c r="H29" i="13"/>
  <c r="H32" i="13" s="1"/>
  <c r="K56" i="24"/>
  <c r="K59" i="24" s="1"/>
  <c r="G56" i="24"/>
  <c r="G59" i="24" s="1"/>
  <c r="D56" i="24"/>
  <c r="D59" i="24" s="1"/>
  <c r="K56" i="13"/>
  <c r="K59" i="13" s="1"/>
  <c r="G56" i="13"/>
  <c r="G59" i="13" s="1"/>
  <c r="H56" i="24"/>
  <c r="H59" i="24" s="1"/>
  <c r="D56" i="13"/>
  <c r="D59" i="13" s="1"/>
  <c r="E29" i="14"/>
  <c r="H56" i="13"/>
  <c r="H59" i="13" s="1"/>
  <c r="F56" i="24"/>
  <c r="F59" i="24" s="1"/>
  <c r="K29" i="24"/>
  <c r="E29" i="13"/>
  <c r="E32" i="13" s="1"/>
  <c r="F29" i="14"/>
  <c r="F29" i="13"/>
  <c r="F32" i="13" s="1"/>
  <c r="E56" i="24"/>
  <c r="E59" i="24" s="1"/>
  <c r="H29" i="24"/>
  <c r="H32" i="24" s="1"/>
  <c r="D29" i="13"/>
  <c r="D32" i="13" s="1"/>
  <c r="F56" i="13"/>
  <c r="F59" i="13" s="1"/>
  <c r="E29" i="24"/>
  <c r="E32" i="24" s="1"/>
  <c r="H29" i="14"/>
  <c r="H56" i="11"/>
  <c r="H59" i="11" s="1"/>
  <c r="E56" i="11"/>
  <c r="K56" i="11"/>
  <c r="K59" i="11" s="1"/>
  <c r="G29" i="11"/>
  <c r="G32" i="11" s="1"/>
  <c r="D29" i="11"/>
  <c r="K29" i="14"/>
  <c r="G29" i="14"/>
  <c r="D29" i="14"/>
  <c r="K29" i="11"/>
  <c r="F83" i="23"/>
  <c r="K83" i="23"/>
  <c r="G83" i="23"/>
  <c r="E83" i="23"/>
  <c r="H83" i="23"/>
  <c r="D83" i="23"/>
  <c r="H29" i="15"/>
  <c r="H32" i="15" s="1"/>
  <c r="G29" i="15"/>
  <c r="G32" i="15" s="1"/>
  <c r="E98" i="23"/>
  <c r="D29" i="15"/>
  <c r="D32" i="15" s="1"/>
  <c r="E27" i="12"/>
  <c r="E22" i="12"/>
  <c r="E25" i="12"/>
  <c r="E23" i="12"/>
  <c r="E21" i="12"/>
  <c r="E28" i="12"/>
  <c r="E26" i="12"/>
  <c r="E24" i="12"/>
  <c r="J14" i="23"/>
  <c r="K14" i="23"/>
  <c r="D56" i="15"/>
  <c r="F29" i="15"/>
  <c r="F32" i="15" s="1"/>
  <c r="H56" i="15"/>
  <c r="H59" i="15" s="1"/>
  <c r="F27" i="12"/>
  <c r="F25" i="12"/>
  <c r="F23" i="12"/>
  <c r="F22" i="12"/>
  <c r="F28" i="12"/>
  <c r="F21" i="12"/>
  <c r="F24" i="12"/>
  <c r="F26" i="12"/>
  <c r="J20" i="12"/>
  <c r="J26" i="12"/>
  <c r="K28" i="12"/>
  <c r="D26" i="12"/>
  <c r="D22" i="12"/>
  <c r="J25" i="12"/>
  <c r="J24" i="12"/>
  <c r="D27" i="12"/>
  <c r="D21" i="12"/>
  <c r="J23" i="12"/>
  <c r="K26" i="12"/>
  <c r="J22" i="12"/>
  <c r="D23" i="12"/>
  <c r="J27" i="12"/>
  <c r="J21" i="12"/>
  <c r="D28" i="12"/>
  <c r="K22" i="12"/>
  <c r="D24" i="12"/>
  <c r="K21" i="12"/>
  <c r="J28" i="12"/>
  <c r="K25" i="12"/>
  <c r="K24" i="12"/>
  <c r="K23" i="12"/>
  <c r="K27" i="12"/>
  <c r="D25" i="12"/>
  <c r="K16" i="23"/>
  <c r="J16" i="23"/>
  <c r="J15" i="12"/>
  <c r="K11" i="23"/>
  <c r="K56" i="15"/>
  <c r="K59" i="15" s="1"/>
  <c r="G56" i="15"/>
  <c r="G59" i="15" s="1"/>
  <c r="E29" i="15"/>
  <c r="E32" i="15" s="1"/>
  <c r="J12" i="12"/>
  <c r="J19" i="12"/>
  <c r="K12" i="23"/>
  <c r="J12" i="23"/>
  <c r="F56" i="15"/>
  <c r="F59" i="15" s="1"/>
  <c r="E56" i="15"/>
  <c r="J18" i="12"/>
  <c r="K19" i="23"/>
  <c r="J19" i="23"/>
  <c r="G21" i="23"/>
  <c r="G24" i="23"/>
  <c r="G25" i="23"/>
  <c r="G26" i="23"/>
  <c r="G27" i="23"/>
  <c r="G23" i="23"/>
  <c r="G22" i="23"/>
  <c r="G20" i="23"/>
  <c r="G28" i="23"/>
  <c r="J17" i="23"/>
  <c r="K17" i="23"/>
  <c r="K13" i="23"/>
  <c r="J11" i="12"/>
  <c r="J17" i="12"/>
  <c r="K29" i="15"/>
  <c r="H24" i="23"/>
  <c r="H25" i="23"/>
  <c r="H21" i="23"/>
  <c r="H26" i="23"/>
  <c r="H27" i="23"/>
  <c r="H22" i="23"/>
  <c r="H23" i="23"/>
  <c r="H20" i="23"/>
  <c r="H28" i="23"/>
  <c r="K15" i="23"/>
  <c r="J15" i="23"/>
  <c r="E21" i="23"/>
  <c r="E27" i="23"/>
  <c r="E23" i="23"/>
  <c r="E24" i="23"/>
  <c r="E22" i="23"/>
  <c r="E25" i="23"/>
  <c r="E26" i="23"/>
  <c r="E20" i="23"/>
  <c r="E28" i="23"/>
  <c r="J16" i="12"/>
  <c r="F27" i="23"/>
  <c r="F23" i="23"/>
  <c r="F24" i="23"/>
  <c r="F25" i="23"/>
  <c r="F22" i="23"/>
  <c r="F26" i="23"/>
  <c r="F21" i="23"/>
  <c r="F20" i="23"/>
  <c r="F28" i="23"/>
  <c r="J14" i="12"/>
  <c r="K14" i="12"/>
  <c r="H23" i="12"/>
  <c r="H28" i="12"/>
  <c r="H26" i="12"/>
  <c r="H24" i="12"/>
  <c r="H22" i="12"/>
  <c r="H27" i="12"/>
  <c r="H21" i="12"/>
  <c r="H25" i="12"/>
  <c r="D26" i="23"/>
  <c r="J24" i="23"/>
  <c r="J22" i="23"/>
  <c r="J25" i="23"/>
  <c r="J21" i="23"/>
  <c r="J26" i="23"/>
  <c r="K26" i="23"/>
  <c r="D23" i="23"/>
  <c r="D22" i="23"/>
  <c r="K21" i="23"/>
  <c r="D24" i="23"/>
  <c r="K24" i="23"/>
  <c r="D25" i="23"/>
  <c r="J23" i="23"/>
  <c r="D21" i="23"/>
  <c r="D27" i="23"/>
  <c r="J27" i="23"/>
  <c r="K27" i="23"/>
  <c r="K22" i="23"/>
  <c r="K23" i="23"/>
  <c r="K25" i="23"/>
  <c r="J20" i="23"/>
  <c r="K20" i="23"/>
  <c r="D20" i="23"/>
  <c r="K28" i="23"/>
  <c r="J28" i="23"/>
  <c r="D28" i="23"/>
  <c r="J11" i="23"/>
  <c r="J13" i="12"/>
  <c r="K18" i="23"/>
  <c r="J18" i="23"/>
  <c r="B38" i="50"/>
  <c r="B40" i="51"/>
  <c r="B41" i="51"/>
  <c r="B39" i="50"/>
  <c r="B18" i="50"/>
  <c r="B20" i="51"/>
  <c r="B36" i="50"/>
  <c r="B38" i="51"/>
  <c r="B37" i="50"/>
  <c r="B39" i="51"/>
  <c r="B91" i="50"/>
  <c r="H11" i="12"/>
  <c r="H99" i="23"/>
  <c r="D97" i="23"/>
  <c r="D99" i="23"/>
  <c r="K100" i="10"/>
  <c r="E10" i="27" s="1"/>
  <c r="E6" i="8"/>
  <c r="D101" i="14"/>
  <c r="D100" i="12"/>
  <c r="D101" i="12" s="1"/>
  <c r="H101" i="14"/>
  <c r="H100" i="12"/>
  <c r="H101" i="12" s="1"/>
  <c r="E13" i="23"/>
  <c r="H21" i="27"/>
  <c r="H22" i="27" s="1"/>
  <c r="E19" i="23"/>
  <c r="D21" i="27"/>
  <c r="D11" i="27"/>
  <c r="E16" i="12"/>
  <c r="F11" i="27"/>
  <c r="E11" i="23"/>
  <c r="E15" i="23"/>
  <c r="G97" i="23"/>
  <c r="K110" i="10"/>
  <c r="E17" i="23"/>
  <c r="D14" i="23"/>
  <c r="E20" i="12"/>
  <c r="E110" i="10"/>
  <c r="E29" i="10"/>
  <c r="K113" i="8"/>
  <c r="K104" i="8"/>
  <c r="K131" i="8"/>
  <c r="K122" i="8"/>
  <c r="K113" i="10"/>
  <c r="K104" i="10"/>
  <c r="E17" i="12"/>
  <c r="E18" i="12"/>
  <c r="E12" i="12"/>
  <c r="E19" i="12"/>
  <c r="E15" i="12"/>
  <c r="E11" i="12"/>
  <c r="E14" i="12"/>
  <c r="F100" i="10"/>
  <c r="F101" i="10" s="1"/>
  <c r="F17" i="23"/>
  <c r="D12" i="23"/>
  <c r="F14" i="23"/>
  <c r="D18" i="23"/>
  <c r="F15" i="23"/>
  <c r="D17" i="23"/>
  <c r="F19" i="23"/>
  <c r="D15" i="23"/>
  <c r="F16" i="23"/>
  <c r="D16" i="23"/>
  <c r="F11" i="23"/>
  <c r="F18" i="23"/>
  <c r="D19" i="23"/>
  <c r="F13" i="23"/>
  <c r="E6" i="12"/>
  <c r="E12" i="23"/>
  <c r="E16" i="23"/>
  <c r="J96" i="23"/>
  <c r="F29" i="10"/>
  <c r="D98" i="23"/>
  <c r="F29" i="9"/>
  <c r="F32" i="9" s="1"/>
  <c r="H18" i="12"/>
  <c r="J98" i="23"/>
  <c r="H13" i="12"/>
  <c r="H14" i="12"/>
  <c r="H19" i="12"/>
  <c r="H15" i="12"/>
  <c r="F12" i="23"/>
  <c r="H17" i="12"/>
  <c r="H16" i="12"/>
  <c r="H12" i="12"/>
  <c r="H20" i="12"/>
  <c r="D96" i="23"/>
  <c r="F97" i="23"/>
  <c r="H29" i="9"/>
  <c r="H32" i="9" s="1"/>
  <c r="E13" i="12"/>
  <c r="J97" i="23"/>
  <c r="F19" i="12"/>
  <c r="F18" i="12"/>
  <c r="D11" i="23"/>
  <c r="G17" i="23"/>
  <c r="E96" i="23"/>
  <c r="H96" i="23"/>
  <c r="J100" i="12"/>
  <c r="J101" i="12" s="1"/>
  <c r="K96" i="23"/>
  <c r="D20" i="12"/>
  <c r="J99" i="23"/>
  <c r="F18" i="27"/>
  <c r="F20" i="27" s="1"/>
  <c r="F21" i="27" s="1"/>
  <c r="H97" i="23"/>
  <c r="D13" i="23"/>
  <c r="E14" i="23"/>
  <c r="G11" i="23"/>
  <c r="D18" i="12"/>
  <c r="K15" i="12"/>
  <c r="F99" i="23"/>
  <c r="G15" i="23"/>
  <c r="K100" i="8"/>
  <c r="C10" i="27" s="1"/>
  <c r="K17" i="12"/>
  <c r="H19" i="23"/>
  <c r="D29" i="10"/>
  <c r="F15" i="12"/>
  <c r="K20" i="12"/>
  <c r="F14" i="12"/>
  <c r="K18" i="12"/>
  <c r="H17" i="23"/>
  <c r="H14" i="23"/>
  <c r="H12" i="23"/>
  <c r="H29" i="10"/>
  <c r="H100" i="10"/>
  <c r="H101" i="10" s="1"/>
  <c r="F16" i="12"/>
  <c r="F11" i="12"/>
  <c r="K12" i="12"/>
  <c r="F17" i="12"/>
  <c r="D15" i="12"/>
  <c r="K19" i="12"/>
  <c r="H16" i="23"/>
  <c r="F20" i="12"/>
  <c r="D56" i="9"/>
  <c r="D59" i="9" s="1"/>
  <c r="F12" i="12"/>
  <c r="F13" i="12"/>
  <c r="H11" i="23"/>
  <c r="H15" i="23"/>
  <c r="H18" i="23"/>
  <c r="D13" i="12"/>
  <c r="K13" i="12"/>
  <c r="K11" i="12"/>
  <c r="H13" i="23"/>
  <c r="D17" i="12"/>
  <c r="D14" i="12"/>
  <c r="H56" i="9"/>
  <c r="H59" i="9" s="1"/>
  <c r="K16" i="12"/>
  <c r="F98" i="23"/>
  <c r="F96" i="23"/>
  <c r="G99" i="23"/>
  <c r="E29" i="8"/>
  <c r="D16" i="12"/>
  <c r="K101" i="11"/>
  <c r="F13" i="50" s="1"/>
  <c r="D100" i="10"/>
  <c r="D101" i="10" s="1"/>
  <c r="E18" i="23"/>
  <c r="D12" i="12"/>
  <c r="D19" i="12"/>
  <c r="G56" i="9"/>
  <c r="G59" i="9" s="1"/>
  <c r="G29" i="9"/>
  <c r="G32" i="9" s="1"/>
  <c r="D101" i="13"/>
  <c r="F29" i="8"/>
  <c r="E29" i="9"/>
  <c r="G16" i="23"/>
  <c r="G12" i="23"/>
  <c r="G18" i="23"/>
  <c r="G19" i="23"/>
  <c r="E100" i="8"/>
  <c r="G14" i="23"/>
  <c r="H29" i="8"/>
  <c r="D29" i="8"/>
  <c r="G29" i="10"/>
  <c r="J100" i="10"/>
  <c r="J101" i="10" s="1"/>
  <c r="K99" i="23"/>
  <c r="G9" i="27"/>
  <c r="K97" i="23"/>
  <c r="G7" i="27"/>
  <c r="G13" i="23"/>
  <c r="E21" i="27"/>
  <c r="E22" i="27" s="1"/>
  <c r="F56" i="9"/>
  <c r="F59" i="9" s="1"/>
  <c r="G100" i="8"/>
  <c r="E99" i="23"/>
  <c r="E97" i="23"/>
  <c r="D29" i="9"/>
  <c r="D32" i="9" s="1"/>
  <c r="H100" i="8"/>
  <c r="G96" i="23"/>
  <c r="K56" i="9"/>
  <c r="K101" i="24"/>
  <c r="K100" i="12"/>
  <c r="C21" i="27"/>
  <c r="E101" i="24"/>
  <c r="AA13" i="50" s="1"/>
  <c r="E100" i="12"/>
  <c r="E101" i="12" s="1"/>
  <c r="J122" i="8"/>
  <c r="J131" i="8"/>
  <c r="J113" i="8"/>
  <c r="J104" i="8"/>
  <c r="F101" i="24"/>
  <c r="F100" i="12"/>
  <c r="F101" i="12" s="1"/>
  <c r="G29" i="8"/>
  <c r="B4" i="16"/>
  <c r="D95" i="11"/>
  <c r="D95" i="9"/>
  <c r="D95" i="10"/>
  <c r="D95" i="8"/>
  <c r="J113" i="10"/>
  <c r="J104" i="10"/>
  <c r="D121" i="8"/>
  <c r="D130" i="8"/>
  <c r="D112" i="8"/>
  <c r="D103" i="8"/>
  <c r="D112" i="10"/>
  <c r="D103" i="10"/>
  <c r="E7" i="12"/>
  <c r="E95" i="12" s="1"/>
  <c r="G110" i="10"/>
  <c r="G100" i="10"/>
  <c r="G101" i="10" s="1"/>
  <c r="J110" i="8"/>
  <c r="J100" i="8"/>
  <c r="D110" i="8"/>
  <c r="D100" i="8"/>
  <c r="F110" i="8"/>
  <c r="F100" i="8"/>
  <c r="K29" i="8"/>
  <c r="K29" i="10"/>
  <c r="E6" i="23"/>
  <c r="E94" i="23" s="1"/>
  <c r="F7" i="8"/>
  <c r="F6" i="8" s="1"/>
  <c r="K98" i="23"/>
  <c r="G101" i="13"/>
  <c r="G100" i="12"/>
  <c r="G101" i="12" s="1"/>
  <c r="AD6" i="50" l="1"/>
  <c r="H8" i="50"/>
  <c r="G8" i="50"/>
  <c r="J8" i="50"/>
  <c r="AA8" i="50"/>
  <c r="AB8" i="50"/>
  <c r="AD8" i="50"/>
  <c r="AD9" i="50" s="1"/>
  <c r="C90" i="51"/>
  <c r="C93" i="51" s="1"/>
  <c r="C88" i="50"/>
  <c r="C91" i="50" s="1"/>
  <c r="X62" i="50"/>
  <c r="X65" i="50" s="1"/>
  <c r="W88" i="50"/>
  <c r="W91" i="50" s="1"/>
  <c r="X36" i="50"/>
  <c r="Z36" i="50"/>
  <c r="Z39" i="50" s="1"/>
  <c r="W62" i="50"/>
  <c r="W65" i="50" s="1"/>
  <c r="D39" i="50"/>
  <c r="F36" i="50"/>
  <c r="F39" i="50" s="1"/>
  <c r="D7" i="50"/>
  <c r="D9" i="50" s="1"/>
  <c r="D11" i="50" s="1"/>
  <c r="X37" i="50"/>
  <c r="X10" i="50" s="1"/>
  <c r="C62" i="50"/>
  <c r="C65" i="50" s="1"/>
  <c r="D62" i="50"/>
  <c r="D65" i="50" s="1"/>
  <c r="E100" i="23"/>
  <c r="E101" i="23" s="1"/>
  <c r="D22" i="27"/>
  <c r="AD10" i="50"/>
  <c r="Z6" i="50"/>
  <c r="G6" i="50"/>
  <c r="E6" i="51"/>
  <c r="AA10" i="50"/>
  <c r="K101" i="10"/>
  <c r="E13" i="50" s="1"/>
  <c r="AA6" i="50"/>
  <c r="Z8" i="50"/>
  <c r="AB6" i="50"/>
  <c r="Z10" i="50"/>
  <c r="X6" i="50"/>
  <c r="AB10" i="50"/>
  <c r="E8" i="51"/>
  <c r="X8" i="50"/>
  <c r="E59" i="13"/>
  <c r="E59" i="15"/>
  <c r="E59" i="11"/>
  <c r="E32" i="9"/>
  <c r="K59" i="9"/>
  <c r="J6" i="50"/>
  <c r="E11" i="27"/>
  <c r="D32" i="11"/>
  <c r="F32" i="11"/>
  <c r="F6" i="50"/>
  <c r="E32" i="11"/>
  <c r="I13" i="50"/>
  <c r="H6" i="50"/>
  <c r="G13" i="50"/>
  <c r="D13" i="50"/>
  <c r="F8" i="50"/>
  <c r="H10" i="50"/>
  <c r="F10" i="50"/>
  <c r="E10" i="51"/>
  <c r="E100" i="51"/>
  <c r="H29" i="12"/>
  <c r="J29" i="12"/>
  <c r="E29" i="12"/>
  <c r="F29" i="12"/>
  <c r="D29" i="12"/>
  <c r="K29" i="12"/>
  <c r="E95" i="14"/>
  <c r="E95" i="24"/>
  <c r="E95" i="13"/>
  <c r="K32" i="15"/>
  <c r="J10" i="50"/>
  <c r="H100" i="23"/>
  <c r="H101" i="23" s="1"/>
  <c r="D12" i="27"/>
  <c r="E101" i="8"/>
  <c r="W13" i="50" s="1"/>
  <c r="K101" i="12"/>
  <c r="F12" i="27"/>
  <c r="K101" i="8"/>
  <c r="C13" i="50" s="1"/>
  <c r="C11" i="27"/>
  <c r="F29" i="23"/>
  <c r="D29" i="23"/>
  <c r="E29" i="23"/>
  <c r="K100" i="23"/>
  <c r="K101" i="23" s="1"/>
  <c r="K32" i="24"/>
  <c r="H101" i="8"/>
  <c r="K32" i="13"/>
  <c r="K32" i="11"/>
  <c r="G8" i="27"/>
  <c r="G10" i="27" s="1"/>
  <c r="G11" i="27" s="1"/>
  <c r="H29" i="23"/>
  <c r="C22" i="27"/>
  <c r="G100" i="23"/>
  <c r="G101" i="23" s="1"/>
  <c r="G29" i="23"/>
  <c r="K29" i="23"/>
  <c r="G101" i="8"/>
  <c r="E95" i="23"/>
  <c r="J101" i="8"/>
  <c r="J100" i="23"/>
  <c r="J101" i="23" s="1"/>
  <c r="D122" i="8"/>
  <c r="D131" i="8"/>
  <c r="D113" i="8"/>
  <c r="D104" i="8"/>
  <c r="F6" i="23"/>
  <c r="F94" i="23" s="1"/>
  <c r="G7" i="8"/>
  <c r="F95" i="23"/>
  <c r="C3" i="16"/>
  <c r="E94" i="11"/>
  <c r="E94" i="9"/>
  <c r="E94" i="10"/>
  <c r="E94" i="8"/>
  <c r="D101" i="8"/>
  <c r="D100" i="23"/>
  <c r="D101" i="23" s="1"/>
  <c r="D113" i="10"/>
  <c r="D104" i="10"/>
  <c r="F101" i="8"/>
  <c r="F100" i="23"/>
  <c r="F101" i="23" s="1"/>
  <c r="F6" i="12"/>
  <c r="F7" i="12"/>
  <c r="F95" i="12" s="1"/>
  <c r="X39" i="50" l="1"/>
  <c r="AD11" i="50"/>
  <c r="Z9" i="50"/>
  <c r="Z11" i="50" s="1"/>
  <c r="E12" i="27"/>
  <c r="G9" i="50"/>
  <c r="G11" i="50" s="1"/>
  <c r="AA9" i="50"/>
  <c r="AA11" i="50" s="1"/>
  <c r="AB9" i="50"/>
  <c r="AB11" i="50" s="1"/>
  <c r="X9" i="50"/>
  <c r="X11" i="50" s="1"/>
  <c r="J9" i="50"/>
  <c r="J11" i="50" s="1"/>
  <c r="E9" i="51"/>
  <c r="E11" i="51" s="1"/>
  <c r="F9" i="50"/>
  <c r="F11" i="50" s="1"/>
  <c r="H9" i="50"/>
  <c r="H11" i="50" s="1"/>
  <c r="C13" i="51"/>
  <c r="D13" i="51"/>
  <c r="F95" i="14"/>
  <c r="F95" i="24"/>
  <c r="F95" i="13"/>
  <c r="G6" i="8"/>
  <c r="C12" i="27"/>
  <c r="G6" i="12"/>
  <c r="D3" i="16"/>
  <c r="F94" i="11"/>
  <c r="F94" i="10"/>
  <c r="F94" i="9"/>
  <c r="F94" i="8"/>
  <c r="E112" i="10"/>
  <c r="E103" i="10"/>
  <c r="D4" i="16"/>
  <c r="F95" i="11"/>
  <c r="F95" i="10"/>
  <c r="F95" i="8"/>
  <c r="F95" i="9"/>
  <c r="G7" i="12"/>
  <c r="G95" i="12" s="1"/>
  <c r="E130" i="8"/>
  <c r="E103" i="8"/>
  <c r="E112" i="8"/>
  <c r="E121" i="8"/>
  <c r="C4" i="16"/>
  <c r="E95" i="11"/>
  <c r="E95" i="9"/>
  <c r="E95" i="10"/>
  <c r="E95" i="8"/>
  <c r="H7" i="8"/>
  <c r="G6" i="23" l="1"/>
  <c r="G94" i="23" s="1"/>
  <c r="G95" i="14"/>
  <c r="G95" i="13"/>
  <c r="G95" i="24"/>
  <c r="H6" i="8"/>
  <c r="H6" i="12"/>
  <c r="F131" i="8"/>
  <c r="F104" i="8"/>
  <c r="F122" i="8"/>
  <c r="F113" i="8"/>
  <c r="F104" i="10"/>
  <c r="F113" i="10"/>
  <c r="F130" i="8"/>
  <c r="F103" i="8"/>
  <c r="F121" i="8"/>
  <c r="F112" i="8"/>
  <c r="E131" i="8"/>
  <c r="E104" i="8"/>
  <c r="E113" i="8"/>
  <c r="E122" i="8"/>
  <c r="E113" i="10"/>
  <c r="E104" i="10"/>
  <c r="F103" i="10"/>
  <c r="F112" i="10"/>
  <c r="H7" i="12"/>
  <c r="H95" i="12" s="1"/>
  <c r="G95" i="23"/>
  <c r="E3" i="16"/>
  <c r="G94" i="11"/>
  <c r="G94" i="10"/>
  <c r="G94" i="9"/>
  <c r="G94" i="8"/>
  <c r="H6" i="23" l="1"/>
  <c r="H94" i="23" s="1"/>
  <c r="H95" i="24"/>
  <c r="H95" i="13"/>
  <c r="H95" i="14"/>
  <c r="G103" i="8"/>
  <c r="G112" i="8"/>
  <c r="G121" i="8"/>
  <c r="G130" i="8"/>
  <c r="E4" i="16"/>
  <c r="G95" i="11"/>
  <c r="G95" i="10"/>
  <c r="G95" i="9"/>
  <c r="G95" i="8"/>
  <c r="H95" i="23"/>
  <c r="F3" i="16"/>
  <c r="H94" i="11"/>
  <c r="H94" i="10"/>
  <c r="H94" i="9"/>
  <c r="H94" i="8"/>
  <c r="G112" i="10"/>
  <c r="G103" i="10"/>
  <c r="H103" i="8" l="1"/>
  <c r="H112" i="8"/>
  <c r="H130" i="8"/>
  <c r="H121" i="8"/>
  <c r="F4" i="16"/>
  <c r="H95" i="10"/>
  <c r="H95" i="11"/>
  <c r="H95" i="9"/>
  <c r="H95" i="8"/>
  <c r="H103" i="10"/>
  <c r="H112" i="10"/>
  <c r="G104" i="8"/>
  <c r="G113" i="8"/>
  <c r="G122" i="8"/>
  <c r="G131" i="8"/>
  <c r="G113" i="10"/>
  <c r="G104" i="10"/>
  <c r="J17" i="8" l="1"/>
  <c r="J12" i="8"/>
  <c r="J27" i="8"/>
  <c r="J14" i="8"/>
  <c r="J13" i="8"/>
  <c r="J18" i="8"/>
  <c r="J16" i="8"/>
  <c r="J15" i="8"/>
  <c r="J28" i="8"/>
  <c r="H104" i="8"/>
  <c r="H113" i="8"/>
  <c r="H131" i="8"/>
  <c r="H122" i="8"/>
  <c r="H104" i="10"/>
  <c r="H113" i="10"/>
  <c r="J29" i="8" l="1"/>
  <c r="J32" i="11"/>
  <c r="J59" i="11"/>
  <c r="J32" i="24"/>
  <c r="J56" i="9"/>
  <c r="J29" i="10"/>
  <c r="J32" i="13"/>
  <c r="J59" i="13"/>
  <c r="J59" i="24"/>
  <c r="J59" i="15"/>
  <c r="J32" i="15"/>
  <c r="J59" i="9" l="1"/>
  <c r="J29" i="23"/>
  <c r="C96" i="12" l="1"/>
  <c r="C97" i="12"/>
  <c r="D59" i="15" l="1"/>
  <c r="D50" i="10" l="1"/>
  <c r="D49" i="10"/>
  <c r="D47" i="10"/>
  <c r="D48" i="10"/>
  <c r="D51" i="10"/>
  <c r="D46" i="10"/>
  <c r="D38" i="10"/>
  <c r="D44" i="10"/>
  <c r="D39" i="10"/>
  <c r="D42" i="10"/>
  <c r="D40" i="10"/>
  <c r="D41" i="10"/>
  <c r="D45" i="10"/>
  <c r="D43" i="10"/>
  <c r="E51" i="10"/>
  <c r="E49" i="10"/>
  <c r="E50" i="10"/>
  <c r="E48" i="10"/>
  <c r="E47" i="10"/>
  <c r="E44" i="10"/>
  <c r="E41" i="10"/>
  <c r="E45" i="10"/>
  <c r="E43" i="10"/>
  <c r="E55" i="10"/>
  <c r="E38" i="10"/>
  <c r="E40" i="10"/>
  <c r="E46" i="10"/>
  <c r="E39" i="10"/>
  <c r="E42" i="10"/>
  <c r="J49" i="10"/>
  <c r="D56" i="10" l="1"/>
  <c r="E56" i="10"/>
  <c r="J44" i="10"/>
  <c r="J48" i="10"/>
  <c r="J55" i="10"/>
  <c r="J47" i="10"/>
  <c r="J41" i="10"/>
  <c r="J46" i="10"/>
  <c r="J42" i="10"/>
  <c r="J38" i="10"/>
  <c r="J43" i="10"/>
  <c r="J39" i="10"/>
  <c r="J51" i="10"/>
  <c r="J45" i="10"/>
  <c r="J50" i="10"/>
  <c r="J40" i="10"/>
  <c r="H51" i="10"/>
  <c r="H49" i="10"/>
  <c r="H47" i="10"/>
  <c r="H50" i="10"/>
  <c r="H48" i="10"/>
  <c r="H41" i="10"/>
  <c r="H55" i="10"/>
  <c r="H43" i="10"/>
  <c r="H45" i="10"/>
  <c r="H38" i="10"/>
  <c r="H46" i="10"/>
  <c r="H40" i="10"/>
  <c r="H42" i="10"/>
  <c r="H39" i="10"/>
  <c r="H44" i="10"/>
  <c r="F51" i="10"/>
  <c r="Y31" i="50" s="1"/>
  <c r="F50" i="10"/>
  <c r="Y30" i="50" s="1"/>
  <c r="F47" i="10"/>
  <c r="Y27" i="50" s="1"/>
  <c r="F48" i="10"/>
  <c r="Y28" i="50" s="1"/>
  <c r="F49" i="10"/>
  <c r="Y29" i="50" s="1"/>
  <c r="F46" i="10"/>
  <c r="Y26" i="50" s="1"/>
  <c r="F45" i="10"/>
  <c r="Y25" i="50" s="1"/>
  <c r="F40" i="10"/>
  <c r="Y20" i="50" s="1"/>
  <c r="F44" i="10"/>
  <c r="Y24" i="50" s="1"/>
  <c r="F55" i="10"/>
  <c r="Y35" i="50" s="1"/>
  <c r="F42" i="10"/>
  <c r="Y22" i="50" s="1"/>
  <c r="F38" i="10"/>
  <c r="F39" i="10"/>
  <c r="Y19" i="50" s="1"/>
  <c r="Y7" i="50" s="1"/>
  <c r="F41" i="10"/>
  <c r="Y21" i="50" s="1"/>
  <c r="F43" i="10"/>
  <c r="Y23" i="50" s="1"/>
  <c r="K44" i="10"/>
  <c r="E24" i="50" s="1"/>
  <c r="Y18" i="50" l="1"/>
  <c r="Y36" i="50" s="1"/>
  <c r="F56" i="10"/>
  <c r="H56" i="10"/>
  <c r="Y8" i="50"/>
  <c r="J56" i="10"/>
  <c r="K47" i="10"/>
  <c r="E27" i="50" s="1"/>
  <c r="G51" i="10"/>
  <c r="G50" i="10"/>
  <c r="G47" i="10"/>
  <c r="G48" i="10"/>
  <c r="G49" i="10"/>
  <c r="G45" i="10"/>
  <c r="G46" i="10"/>
  <c r="G43" i="10"/>
  <c r="G41" i="10"/>
  <c r="G39" i="10"/>
  <c r="G38" i="10"/>
  <c r="G40" i="10"/>
  <c r="G55" i="10"/>
  <c r="G42" i="10"/>
  <c r="G44" i="10"/>
  <c r="K51" i="10"/>
  <c r="E31" i="50" s="1"/>
  <c r="K48" i="10"/>
  <c r="E28" i="50" s="1"/>
  <c r="K55" i="10"/>
  <c r="E35" i="50" s="1"/>
  <c r="K50" i="10"/>
  <c r="E30" i="50" s="1"/>
  <c r="K49" i="10"/>
  <c r="E29" i="50" s="1"/>
  <c r="K46" i="10"/>
  <c r="E26" i="50" s="1"/>
  <c r="K39" i="10"/>
  <c r="K41" i="10"/>
  <c r="E21" i="50" s="1"/>
  <c r="K43" i="10"/>
  <c r="E23" i="50" s="1"/>
  <c r="K42" i="10"/>
  <c r="E22" i="50" s="1"/>
  <c r="K40" i="10"/>
  <c r="E20" i="50" s="1"/>
  <c r="K38" i="10"/>
  <c r="E18" i="50" s="1"/>
  <c r="K45" i="10"/>
  <c r="E25" i="50" s="1"/>
  <c r="Y6" i="50" l="1"/>
  <c r="G56" i="10"/>
  <c r="Y9" i="50"/>
  <c r="E19" i="50"/>
  <c r="E36" i="50" s="1"/>
  <c r="E6" i="50"/>
  <c r="E8" i="50"/>
  <c r="K56" i="10"/>
  <c r="E7" i="50" l="1"/>
  <c r="E9" i="50" s="1"/>
  <c r="E30" i="10"/>
  <c r="E57" i="10"/>
  <c r="H30" i="10"/>
  <c r="J30" i="10"/>
  <c r="D30" i="10"/>
  <c r="F30" i="10" l="1"/>
  <c r="Y37" i="50" s="1"/>
  <c r="F57" i="10"/>
  <c r="J57" i="10"/>
  <c r="E31" i="10"/>
  <c r="E32" i="10" s="1"/>
  <c r="E58" i="10"/>
  <c r="H57" i="10"/>
  <c r="D57" i="10"/>
  <c r="E59" i="10" l="1"/>
  <c r="D31" i="10"/>
  <c r="D32" i="10" s="1"/>
  <c r="D58" i="10"/>
  <c r="D59" i="10" s="1"/>
  <c r="G30" i="10"/>
  <c r="G57" i="10"/>
  <c r="K30" i="10"/>
  <c r="K57" i="10"/>
  <c r="E37" i="50" l="1"/>
  <c r="J31" i="10"/>
  <c r="J32" i="10" s="1"/>
  <c r="F31" i="10"/>
  <c r="F32" i="10" l="1"/>
  <c r="J58" i="10"/>
  <c r="J59" i="10" s="1"/>
  <c r="F58" i="10" l="1"/>
  <c r="G31" i="10"/>
  <c r="G32" i="10" s="1"/>
  <c r="F59" i="10" l="1"/>
  <c r="Y38" i="50"/>
  <c r="G58" i="10"/>
  <c r="G59" i="10" s="1"/>
  <c r="Y10" i="50" l="1"/>
  <c r="Y11" i="50" s="1"/>
  <c r="Y39" i="50"/>
  <c r="H31" i="10"/>
  <c r="H32" i="10" s="1"/>
  <c r="K31" i="10"/>
  <c r="K32" i="10" l="1"/>
  <c r="K58" i="10" l="1"/>
  <c r="E38" i="50" s="1"/>
  <c r="E39" i="50" s="1"/>
  <c r="H58" i="10"/>
  <c r="H59" i="10" s="1"/>
  <c r="K59" i="10" l="1"/>
  <c r="E10" i="50" l="1"/>
  <c r="E11" i="50" s="1"/>
  <c r="C15" i="19" l="1"/>
  <c r="C19" i="19" s="1"/>
  <c r="C17" i="19" l="1"/>
  <c r="D45" i="8" l="1"/>
  <c r="D41" i="8"/>
  <c r="D46" i="8"/>
  <c r="D91" i="23"/>
  <c r="D44" i="8"/>
  <c r="D47" i="8"/>
  <c r="D48" i="8"/>
  <c r="D43" i="8"/>
  <c r="D55" i="8"/>
  <c r="D51" i="8"/>
  <c r="D42" i="8"/>
  <c r="D39" i="8"/>
  <c r="D50" i="8"/>
  <c r="D40" i="8"/>
  <c r="D49" i="8"/>
  <c r="D56" i="8" l="1"/>
  <c r="D44" i="23"/>
  <c r="D42" i="23"/>
  <c r="D49" i="23"/>
  <c r="D39" i="23"/>
  <c r="D47" i="23"/>
  <c r="D46" i="23"/>
  <c r="D43" i="23"/>
  <c r="D38" i="23"/>
  <c r="D54" i="23"/>
  <c r="D48" i="23"/>
  <c r="D51" i="23"/>
  <c r="D53" i="23"/>
  <c r="D40" i="23"/>
  <c r="D50" i="23"/>
  <c r="D45" i="23"/>
  <c r="D55" i="23"/>
  <c r="D41" i="23"/>
  <c r="D52" i="23"/>
  <c r="E50" i="8"/>
  <c r="E45" i="8"/>
  <c r="E55" i="8"/>
  <c r="E40" i="8"/>
  <c r="E44" i="8"/>
  <c r="E46" i="8"/>
  <c r="E38" i="8"/>
  <c r="E91" i="23"/>
  <c r="E51" i="8"/>
  <c r="E43" i="8"/>
  <c r="E48" i="8"/>
  <c r="E42" i="8"/>
  <c r="E47" i="8"/>
  <c r="E39" i="8"/>
  <c r="E41" i="8"/>
  <c r="E49" i="8"/>
  <c r="G38" i="8" l="1"/>
  <c r="G40" i="8"/>
  <c r="G39" i="8"/>
  <c r="G91" i="23"/>
  <c r="G47" i="8"/>
  <c r="G46" i="8"/>
  <c r="G49" i="8"/>
  <c r="G55" i="8"/>
  <c r="G48" i="8"/>
  <c r="G44" i="8"/>
  <c r="G51" i="8"/>
  <c r="G43" i="8"/>
  <c r="G50" i="8"/>
  <c r="G45" i="8"/>
  <c r="G42" i="8"/>
  <c r="G41" i="8"/>
  <c r="E44" i="23"/>
  <c r="E38" i="23"/>
  <c r="E39" i="23"/>
  <c r="E42" i="23"/>
  <c r="E48" i="23"/>
  <c r="E52" i="23"/>
  <c r="E50" i="23"/>
  <c r="E46" i="23"/>
  <c r="E51" i="23"/>
  <c r="E53" i="23"/>
  <c r="E49" i="23"/>
  <c r="E45" i="23"/>
  <c r="E41" i="23"/>
  <c r="E55" i="23"/>
  <c r="E47" i="23"/>
  <c r="E40" i="23"/>
  <c r="E43" i="23"/>
  <c r="E54" i="23"/>
  <c r="E56" i="8"/>
  <c r="D56" i="23"/>
  <c r="E85" i="23"/>
  <c r="J50" i="8" l="1"/>
  <c r="J45" i="8"/>
  <c r="J49" i="8"/>
  <c r="J43" i="8"/>
  <c r="J46" i="8"/>
  <c r="J55" i="8"/>
  <c r="J39" i="8"/>
  <c r="J47" i="8"/>
  <c r="J51" i="8"/>
  <c r="J40" i="8"/>
  <c r="J42" i="8"/>
  <c r="J48" i="8"/>
  <c r="J41" i="8"/>
  <c r="J38" i="8"/>
  <c r="J44" i="8"/>
  <c r="G56" i="8"/>
  <c r="F48" i="8"/>
  <c r="W28" i="50" s="1"/>
  <c r="F43" i="8"/>
  <c r="W23" i="50" s="1"/>
  <c r="F38" i="8"/>
  <c r="F44" i="8"/>
  <c r="W24" i="50" s="1"/>
  <c r="F40" i="8"/>
  <c r="W20" i="50" s="1"/>
  <c r="F46" i="8"/>
  <c r="W26" i="50" s="1"/>
  <c r="F55" i="8"/>
  <c r="W35" i="50" s="1"/>
  <c r="F51" i="8"/>
  <c r="W31" i="50" s="1"/>
  <c r="F91" i="23"/>
  <c r="F50" i="8"/>
  <c r="W30" i="50" s="1"/>
  <c r="F39" i="8"/>
  <c r="F45" i="8"/>
  <c r="W25" i="50" s="1"/>
  <c r="F41" i="8"/>
  <c r="F49" i="8"/>
  <c r="W29" i="50" s="1"/>
  <c r="F42" i="8"/>
  <c r="W22" i="50" s="1"/>
  <c r="F47" i="8"/>
  <c r="W27" i="50" s="1"/>
  <c r="D30" i="8"/>
  <c r="D84" i="23"/>
  <c r="G51" i="23"/>
  <c r="G54" i="23"/>
  <c r="G39" i="23"/>
  <c r="G50" i="23"/>
  <c r="G46" i="23"/>
  <c r="G55" i="23"/>
  <c r="G43" i="23"/>
  <c r="G47" i="23"/>
  <c r="G38" i="23"/>
  <c r="G48" i="23"/>
  <c r="G44" i="23"/>
  <c r="G42" i="23"/>
  <c r="G53" i="23"/>
  <c r="G45" i="23"/>
  <c r="G52" i="23"/>
  <c r="G49" i="23"/>
  <c r="G41" i="23"/>
  <c r="G40" i="23"/>
  <c r="E56" i="23"/>
  <c r="D85" i="23"/>
  <c r="W21" i="50" l="1"/>
  <c r="W8" i="50" s="1"/>
  <c r="W19" i="50"/>
  <c r="W7" i="50" s="1"/>
  <c r="W18" i="50"/>
  <c r="W6" i="50" s="1"/>
  <c r="J56" i="8"/>
  <c r="J38" i="23"/>
  <c r="J40" i="23"/>
  <c r="J50" i="23"/>
  <c r="J47" i="23"/>
  <c r="J48" i="23"/>
  <c r="J46" i="23"/>
  <c r="J54" i="23"/>
  <c r="J45" i="23"/>
  <c r="J43" i="23"/>
  <c r="J49" i="23"/>
  <c r="J51" i="23"/>
  <c r="J52" i="23"/>
  <c r="J42" i="23"/>
  <c r="J55" i="23"/>
  <c r="J39" i="23"/>
  <c r="J44" i="23"/>
  <c r="J53" i="23"/>
  <c r="J41" i="23"/>
  <c r="K39" i="8"/>
  <c r="K38" i="8"/>
  <c r="K42" i="8"/>
  <c r="K50" i="8"/>
  <c r="K55" i="8"/>
  <c r="K45" i="8"/>
  <c r="K41" i="8"/>
  <c r="K49" i="8"/>
  <c r="K48" i="8"/>
  <c r="K47" i="8"/>
  <c r="K51" i="8"/>
  <c r="K40" i="8"/>
  <c r="K46" i="8"/>
  <c r="K43" i="8"/>
  <c r="G56" i="23"/>
  <c r="F56" i="8"/>
  <c r="D57" i="8"/>
  <c r="F50" i="23"/>
  <c r="F54" i="23"/>
  <c r="F46" i="23"/>
  <c r="F41" i="23"/>
  <c r="F51" i="23"/>
  <c r="F38" i="23"/>
  <c r="F52" i="23"/>
  <c r="F48" i="23"/>
  <c r="F43" i="23"/>
  <c r="F39" i="23"/>
  <c r="F45" i="23"/>
  <c r="F44" i="23"/>
  <c r="F53" i="23"/>
  <c r="F40" i="23"/>
  <c r="F49" i="23"/>
  <c r="F47" i="23"/>
  <c r="F55" i="23"/>
  <c r="F42" i="23"/>
  <c r="D57" i="23"/>
  <c r="D30" i="23"/>
  <c r="J84" i="23"/>
  <c r="K44" i="8"/>
  <c r="H47" i="8"/>
  <c r="H45" i="8"/>
  <c r="H48" i="8"/>
  <c r="H91" i="23"/>
  <c r="K49" i="23" s="1"/>
  <c r="C31" i="51" s="1"/>
  <c r="H55" i="8"/>
  <c r="H49" i="8"/>
  <c r="H39" i="8"/>
  <c r="H38" i="8"/>
  <c r="H44" i="8"/>
  <c r="H46" i="8"/>
  <c r="H42" i="8"/>
  <c r="H40" i="8"/>
  <c r="H41" i="8"/>
  <c r="H43" i="8"/>
  <c r="H51" i="8"/>
  <c r="H50" i="8"/>
  <c r="J85" i="23"/>
  <c r="W9" i="50" l="1"/>
  <c r="C19" i="50"/>
  <c r="C7" i="50" s="1"/>
  <c r="C23" i="50"/>
  <c r="C25" i="50"/>
  <c r="C28" i="50"/>
  <c r="C29" i="50"/>
  <c r="C26" i="50"/>
  <c r="C35" i="50"/>
  <c r="C20" i="50"/>
  <c r="C30" i="50"/>
  <c r="W36" i="50"/>
  <c r="C24" i="50"/>
  <c r="C21" i="50"/>
  <c r="C31" i="50"/>
  <c r="C22" i="50"/>
  <c r="C27" i="50"/>
  <c r="C18" i="50"/>
  <c r="J56" i="23"/>
  <c r="K56" i="8"/>
  <c r="K45" i="23"/>
  <c r="C27" i="51" s="1"/>
  <c r="K40" i="23"/>
  <c r="C22" i="51" s="1"/>
  <c r="K50" i="23"/>
  <c r="C32" i="51" s="1"/>
  <c r="K53" i="23"/>
  <c r="C35" i="51" s="1"/>
  <c r="K51" i="23"/>
  <c r="C33" i="51" s="1"/>
  <c r="K48" i="23"/>
  <c r="C30" i="51" s="1"/>
  <c r="K44" i="23"/>
  <c r="C26" i="51" s="1"/>
  <c r="K46" i="23"/>
  <c r="C28" i="51" s="1"/>
  <c r="K54" i="23"/>
  <c r="C36" i="51" s="1"/>
  <c r="K38" i="23"/>
  <c r="H56" i="8"/>
  <c r="E30" i="8"/>
  <c r="E57" i="8"/>
  <c r="E84" i="23"/>
  <c r="J30" i="8"/>
  <c r="F30" i="8"/>
  <c r="F84" i="23"/>
  <c r="K39" i="23"/>
  <c r="C21" i="51" s="1"/>
  <c r="C7" i="51" s="1"/>
  <c r="H39" i="23"/>
  <c r="H52" i="23"/>
  <c r="H45" i="23"/>
  <c r="H48" i="23"/>
  <c r="H55" i="23"/>
  <c r="H42" i="23"/>
  <c r="H53" i="23"/>
  <c r="H40" i="23"/>
  <c r="H50" i="23"/>
  <c r="H54" i="23"/>
  <c r="H46" i="23"/>
  <c r="H38" i="23"/>
  <c r="H51" i="23"/>
  <c r="H41" i="23"/>
  <c r="H49" i="23"/>
  <c r="H47" i="23"/>
  <c r="H44" i="23"/>
  <c r="H43" i="23"/>
  <c r="K47" i="23"/>
  <c r="C29" i="51" s="1"/>
  <c r="K52" i="23"/>
  <c r="C34" i="51" s="1"/>
  <c r="K43" i="23"/>
  <c r="C25" i="51" s="1"/>
  <c r="K42" i="23"/>
  <c r="C24" i="51" s="1"/>
  <c r="K55" i="23"/>
  <c r="C37" i="51" s="1"/>
  <c r="K41" i="23"/>
  <c r="C23" i="51" s="1"/>
  <c r="F56" i="23"/>
  <c r="E87" i="23"/>
  <c r="H85" i="23"/>
  <c r="G85" i="23"/>
  <c r="C6" i="50" l="1"/>
  <c r="C36" i="50"/>
  <c r="C8" i="50"/>
  <c r="C20" i="51"/>
  <c r="C38" i="51" s="1"/>
  <c r="K56" i="23"/>
  <c r="C8" i="51"/>
  <c r="C9" i="50"/>
  <c r="H56" i="23"/>
  <c r="J57" i="8"/>
  <c r="E30" i="23"/>
  <c r="E57" i="23"/>
  <c r="J30" i="23"/>
  <c r="F30" i="23"/>
  <c r="F87" i="23"/>
  <c r="K85" i="23"/>
  <c r="C6" i="51" l="1"/>
  <c r="C9" i="51" s="1"/>
  <c r="G84" i="23"/>
  <c r="G57" i="8"/>
  <c r="G30" i="8"/>
  <c r="K84" i="23"/>
  <c r="F85" i="23"/>
  <c r="J57" i="23" s="1"/>
  <c r="F57" i="8"/>
  <c r="W37" i="50" l="1"/>
  <c r="K30" i="8"/>
  <c r="H57" i="8"/>
  <c r="H30" i="8"/>
  <c r="H84" i="23"/>
  <c r="K57" i="23" s="1"/>
  <c r="K57" i="8"/>
  <c r="G31" i="8"/>
  <c r="G32" i="8" s="1"/>
  <c r="G86" i="23"/>
  <c r="F31" i="8"/>
  <c r="F86" i="23"/>
  <c r="F88" i="23" s="1"/>
  <c r="F58" i="8"/>
  <c r="F59" i="8" s="1"/>
  <c r="G30" i="23"/>
  <c r="G57" i="23"/>
  <c r="G87" i="23"/>
  <c r="E58" i="8"/>
  <c r="E31" i="8"/>
  <c r="E86" i="23"/>
  <c r="F57" i="23"/>
  <c r="F32" i="8" l="1"/>
  <c r="E32" i="8"/>
  <c r="C37" i="50"/>
  <c r="W38" i="50"/>
  <c r="E59" i="8"/>
  <c r="G88" i="23"/>
  <c r="G58" i="8"/>
  <c r="H57" i="23"/>
  <c r="H30" i="23"/>
  <c r="E58" i="23"/>
  <c r="E59" i="23" s="1"/>
  <c r="E31" i="23"/>
  <c r="E88" i="23"/>
  <c r="K30" i="23"/>
  <c r="F58" i="23"/>
  <c r="F59" i="23" s="1"/>
  <c r="F31" i="23"/>
  <c r="G58" i="23"/>
  <c r="G59" i="23" s="1"/>
  <c r="G31" i="23"/>
  <c r="G32" i="23" s="1"/>
  <c r="G59" i="8" l="1"/>
  <c r="F32" i="23"/>
  <c r="E32" i="23"/>
  <c r="W10" i="50"/>
  <c r="W11" i="50" s="1"/>
  <c r="W39" i="50"/>
  <c r="H87" i="23"/>
  <c r="H31" i="8"/>
  <c r="H86" i="23"/>
  <c r="C39" i="51"/>
  <c r="H32" i="8" l="1"/>
  <c r="H58" i="8"/>
  <c r="C100" i="51"/>
  <c r="H58" i="23"/>
  <c r="H59" i="23" s="1"/>
  <c r="H31" i="23"/>
  <c r="H88" i="23"/>
  <c r="H59" i="8" l="1"/>
  <c r="H32" i="23"/>
  <c r="J31" i="8"/>
  <c r="J32" i="8" s="1"/>
  <c r="K31" i="8"/>
  <c r="D86" i="23"/>
  <c r="D31" i="8"/>
  <c r="J86" i="23"/>
  <c r="K86" i="23"/>
  <c r="D32" i="8" l="1"/>
  <c r="J31" i="23"/>
  <c r="J32" i="23" s="1"/>
  <c r="D31" i="23"/>
  <c r="K31" i="23"/>
  <c r="K32" i="8"/>
  <c r="D32" i="23" l="1"/>
  <c r="J87" i="23"/>
  <c r="J88" i="23" s="1"/>
  <c r="D87" i="23"/>
  <c r="J58" i="8"/>
  <c r="J59" i="8" s="1"/>
  <c r="K58" i="8"/>
  <c r="D58" i="8"/>
  <c r="K32" i="23"/>
  <c r="K87" i="23"/>
  <c r="K88" i="23" s="1"/>
  <c r="D59" i="8" l="1"/>
  <c r="C38" i="50"/>
  <c r="C39" i="50" s="1"/>
  <c r="K58" i="23"/>
  <c r="J58" i="23"/>
  <c r="J59" i="23" s="1"/>
  <c r="K59" i="8"/>
  <c r="D58" i="23"/>
  <c r="D59" i="23" s="1"/>
  <c r="D88" i="23"/>
  <c r="C10" i="50" l="1"/>
  <c r="C11" i="50" s="1"/>
  <c r="K59" i="23"/>
  <c r="C40" i="51"/>
  <c r="C10" i="51" s="1"/>
  <c r="C11" i="51" l="1"/>
  <c r="C41" i="51"/>
  <c r="C101" i="51"/>
  <c r="D40" i="14" l="1"/>
  <c r="D46" i="14"/>
  <c r="D44" i="14"/>
  <c r="D47" i="14"/>
  <c r="D49" i="14"/>
  <c r="D42" i="14"/>
  <c r="D45" i="14"/>
  <c r="D48" i="14"/>
  <c r="D43" i="14"/>
  <c r="D41" i="14"/>
  <c r="D39" i="14"/>
  <c r="D91" i="12"/>
  <c r="D38" i="14"/>
  <c r="D56" i="14" l="1"/>
  <c r="D42" i="12"/>
  <c r="D39" i="12"/>
  <c r="D49" i="12"/>
  <c r="D46" i="12"/>
  <c r="D41" i="12"/>
  <c r="D45" i="12"/>
  <c r="D55" i="12"/>
  <c r="D54" i="12"/>
  <c r="D47" i="12"/>
  <c r="D48" i="12"/>
  <c r="D43" i="12"/>
  <c r="D38" i="12"/>
  <c r="D44" i="12"/>
  <c r="D53" i="12"/>
  <c r="D50" i="12"/>
  <c r="D51" i="12"/>
  <c r="D52" i="12"/>
  <c r="D40" i="12"/>
  <c r="E43" i="14" l="1"/>
  <c r="E44" i="14"/>
  <c r="E40" i="14"/>
  <c r="E47" i="14"/>
  <c r="E45" i="14"/>
  <c r="E48" i="14"/>
  <c r="E49" i="14"/>
  <c r="E42" i="14"/>
  <c r="E39" i="14"/>
  <c r="E46" i="14"/>
  <c r="E41" i="14"/>
  <c r="E38" i="14"/>
  <c r="E91" i="12"/>
  <c r="D56" i="12"/>
  <c r="E50" i="12" l="1"/>
  <c r="E52" i="12"/>
  <c r="E44" i="12"/>
  <c r="E42" i="12"/>
  <c r="E55" i="12"/>
  <c r="E39" i="12"/>
  <c r="E45" i="12"/>
  <c r="E49" i="12"/>
  <c r="E41" i="12"/>
  <c r="E40" i="12"/>
  <c r="E38" i="12"/>
  <c r="E48" i="12"/>
  <c r="E47" i="12"/>
  <c r="E51" i="12"/>
  <c r="E46" i="12"/>
  <c r="E53" i="12"/>
  <c r="E54" i="12"/>
  <c r="E43" i="12"/>
  <c r="E56" i="14"/>
  <c r="D84" i="12"/>
  <c r="D30" i="14"/>
  <c r="E56" i="12" l="1"/>
  <c r="F46" i="14"/>
  <c r="Y52" i="50" s="1"/>
  <c r="F43" i="14"/>
  <c r="Y49" i="50" s="1"/>
  <c r="F42" i="14"/>
  <c r="Y48" i="50" s="1"/>
  <c r="F41" i="14"/>
  <c r="Y47" i="50" s="1"/>
  <c r="F45" i="14"/>
  <c r="Y51" i="50" s="1"/>
  <c r="F49" i="14"/>
  <c r="Y55" i="50" s="1"/>
  <c r="F48" i="14"/>
  <c r="Y54" i="50" s="1"/>
  <c r="F44" i="14"/>
  <c r="Y50" i="50" s="1"/>
  <c r="F47" i="14"/>
  <c r="Y53" i="50" s="1"/>
  <c r="F40" i="14"/>
  <c r="Y46" i="50" s="1"/>
  <c r="F39" i="14"/>
  <c r="Y45" i="50" s="1"/>
  <c r="AC7" i="50" s="1"/>
  <c r="F38" i="14"/>
  <c r="Y44" i="50" s="1"/>
  <c r="F91" i="12"/>
  <c r="J44" i="14"/>
  <c r="J47" i="14"/>
  <c r="J46" i="14"/>
  <c r="J38" i="14"/>
  <c r="J49" i="14"/>
  <c r="J41" i="14"/>
  <c r="J40" i="14"/>
  <c r="J42" i="14"/>
  <c r="J43" i="14"/>
  <c r="J45" i="14"/>
  <c r="J39" i="14"/>
  <c r="J48" i="14"/>
  <c r="E84" i="12"/>
  <c r="E30" i="14"/>
  <c r="D30" i="12"/>
  <c r="AC8" i="50" l="1"/>
  <c r="AC6" i="50"/>
  <c r="Y62" i="50"/>
  <c r="F54" i="12"/>
  <c r="F50" i="12"/>
  <c r="F40" i="12"/>
  <c r="F39" i="12"/>
  <c r="F48" i="12"/>
  <c r="F41" i="12"/>
  <c r="F42" i="12"/>
  <c r="F47" i="12"/>
  <c r="F52" i="12"/>
  <c r="F46" i="12"/>
  <c r="F44" i="12"/>
  <c r="F43" i="12"/>
  <c r="F55" i="12"/>
  <c r="F51" i="12"/>
  <c r="F45" i="12"/>
  <c r="F53" i="12"/>
  <c r="F38" i="12"/>
  <c r="F49" i="12"/>
  <c r="J52" i="12"/>
  <c r="J41" i="12"/>
  <c r="J54" i="12"/>
  <c r="J51" i="12"/>
  <c r="J50" i="12"/>
  <c r="J43" i="12"/>
  <c r="J55" i="12"/>
  <c r="J44" i="12"/>
  <c r="J47" i="12"/>
  <c r="J40" i="12"/>
  <c r="J38" i="12"/>
  <c r="J48" i="12"/>
  <c r="J45" i="12"/>
  <c r="J39" i="12"/>
  <c r="J42" i="12"/>
  <c r="J53" i="12"/>
  <c r="J49" i="12"/>
  <c r="J46" i="12"/>
  <c r="F56" i="14"/>
  <c r="J56" i="14"/>
  <c r="D85" i="12"/>
  <c r="D57" i="14"/>
  <c r="E30" i="12"/>
  <c r="AC9" i="50" l="1"/>
  <c r="J56" i="12"/>
  <c r="G43" i="14"/>
  <c r="G41" i="14"/>
  <c r="G46" i="14"/>
  <c r="G42" i="14"/>
  <c r="G44" i="14"/>
  <c r="G48" i="14"/>
  <c r="G49" i="14"/>
  <c r="G47" i="14"/>
  <c r="G39" i="14"/>
  <c r="G45" i="14"/>
  <c r="G40" i="14"/>
  <c r="G38" i="14"/>
  <c r="G91" i="12"/>
  <c r="F56" i="12"/>
  <c r="E86" i="12"/>
  <c r="E31" i="14"/>
  <c r="E32" i="14" s="1"/>
  <c r="J85" i="12"/>
  <c r="F85" i="12"/>
  <c r="E85" i="12"/>
  <c r="E57" i="14"/>
  <c r="F84" i="12"/>
  <c r="F30" i="14"/>
  <c r="J30" i="14"/>
  <c r="D57" i="12"/>
  <c r="J84" i="12"/>
  <c r="J57" i="12" l="1"/>
  <c r="G54" i="12"/>
  <c r="G44" i="12"/>
  <c r="G52" i="12"/>
  <c r="G38" i="12"/>
  <c r="G48" i="12"/>
  <c r="G42" i="12"/>
  <c r="G53" i="12"/>
  <c r="G40" i="12"/>
  <c r="G45" i="12"/>
  <c r="G49" i="12"/>
  <c r="G43" i="12"/>
  <c r="G50" i="12"/>
  <c r="G46" i="12"/>
  <c r="G39" i="12"/>
  <c r="G51" i="12"/>
  <c r="G47" i="12"/>
  <c r="G41" i="12"/>
  <c r="G55" i="12"/>
  <c r="J57" i="14"/>
  <c r="G56" i="14"/>
  <c r="F57" i="14"/>
  <c r="Y63" i="50" s="1"/>
  <c r="E57" i="12"/>
  <c r="F30" i="12"/>
  <c r="F57" i="12"/>
  <c r="J30" i="12"/>
  <c r="E31" i="12"/>
  <c r="E32" i="12" l="1"/>
  <c r="G56" i="12"/>
  <c r="F86" i="12"/>
  <c r="F31" i="14"/>
  <c r="E87" i="12"/>
  <c r="E58" i="14"/>
  <c r="E59" i="14" s="1"/>
  <c r="F87" i="12"/>
  <c r="G85" i="12"/>
  <c r="F58" i="14" l="1"/>
  <c r="F59" i="14" s="1"/>
  <c r="Y64" i="50"/>
  <c r="F32" i="14"/>
  <c r="F58" i="12"/>
  <c r="F59" i="12" s="1"/>
  <c r="F31" i="12"/>
  <c r="F88" i="12"/>
  <c r="G84" i="12"/>
  <c r="G30" i="14"/>
  <c r="G57" i="14"/>
  <c r="E58" i="12"/>
  <c r="E59" i="12" s="1"/>
  <c r="E88" i="12"/>
  <c r="F32" i="12" l="1"/>
  <c r="AC10" i="50"/>
  <c r="AC11" i="50" s="1"/>
  <c r="Y65" i="50"/>
  <c r="G30" i="12"/>
  <c r="G57" i="12"/>
  <c r="G86" i="12"/>
  <c r="G31" i="14"/>
  <c r="G32" i="14" s="1"/>
  <c r="G31" i="12" l="1"/>
  <c r="G32" i="12" s="1"/>
  <c r="G87" i="12" l="1"/>
  <c r="G58" i="14"/>
  <c r="G59" i="14" s="1"/>
  <c r="G58" i="12" l="1"/>
  <c r="G59" i="12" s="1"/>
  <c r="G88" i="12"/>
  <c r="K39" i="14" l="1"/>
  <c r="H46" i="14" l="1"/>
  <c r="H44" i="14"/>
  <c r="H43" i="14"/>
  <c r="H42" i="14"/>
  <c r="H49" i="14"/>
  <c r="H48" i="14"/>
  <c r="H45" i="14"/>
  <c r="H47" i="14"/>
  <c r="H41" i="14"/>
  <c r="H40" i="14"/>
  <c r="H39" i="14"/>
  <c r="H38" i="14"/>
  <c r="H91" i="12"/>
  <c r="K46" i="14"/>
  <c r="E52" i="50" s="1"/>
  <c r="K44" i="14"/>
  <c r="E50" i="50" s="1"/>
  <c r="K43" i="14"/>
  <c r="E49" i="50" s="1"/>
  <c r="K47" i="14"/>
  <c r="E53" i="50" s="1"/>
  <c r="K48" i="14"/>
  <c r="E54" i="50" s="1"/>
  <c r="K41" i="14"/>
  <c r="E47" i="50" s="1"/>
  <c r="E45" i="50"/>
  <c r="I7" i="50" s="1"/>
  <c r="K40" i="14"/>
  <c r="E46" i="50" s="1"/>
  <c r="K38" i="14"/>
  <c r="K49" i="14"/>
  <c r="E55" i="50" s="1"/>
  <c r="K42" i="14"/>
  <c r="E48" i="50" s="1"/>
  <c r="K45" i="14"/>
  <c r="E51" i="50" s="1"/>
  <c r="I8" i="50" l="1"/>
  <c r="K56" i="14"/>
  <c r="E44" i="50"/>
  <c r="H54" i="12"/>
  <c r="H43" i="12"/>
  <c r="H49" i="12"/>
  <c r="H39" i="12"/>
  <c r="H50" i="12"/>
  <c r="H44" i="12"/>
  <c r="H48" i="12"/>
  <c r="H38" i="12"/>
  <c r="H55" i="12"/>
  <c r="H45" i="12"/>
  <c r="H47" i="12"/>
  <c r="H53" i="12"/>
  <c r="H46" i="12"/>
  <c r="H51" i="12"/>
  <c r="H42" i="12"/>
  <c r="H52" i="12"/>
  <c r="H40" i="12"/>
  <c r="H41" i="12"/>
  <c r="K54" i="12"/>
  <c r="C62" i="51" s="1"/>
  <c r="K50" i="12"/>
  <c r="C58" i="51" s="1"/>
  <c r="K40" i="12"/>
  <c r="C48" i="51" s="1"/>
  <c r="K46" i="12"/>
  <c r="C54" i="51" s="1"/>
  <c r="K41" i="12"/>
  <c r="C49" i="51" s="1"/>
  <c r="K49" i="12"/>
  <c r="C57" i="51" s="1"/>
  <c r="K45" i="12"/>
  <c r="C53" i="51" s="1"/>
  <c r="K38" i="12"/>
  <c r="K39" i="12"/>
  <c r="C47" i="51" s="1"/>
  <c r="D7" i="51" s="1"/>
  <c r="K52" i="12"/>
  <c r="C60" i="51" s="1"/>
  <c r="K48" i="12"/>
  <c r="C56" i="51" s="1"/>
  <c r="K42" i="12"/>
  <c r="C50" i="51" s="1"/>
  <c r="K51" i="12"/>
  <c r="C59" i="51" s="1"/>
  <c r="K44" i="12"/>
  <c r="C52" i="51" s="1"/>
  <c r="K55" i="12"/>
  <c r="C63" i="51" s="1"/>
  <c r="K47" i="12"/>
  <c r="C55" i="51" s="1"/>
  <c r="K43" i="12"/>
  <c r="C51" i="51" s="1"/>
  <c r="K53" i="12"/>
  <c r="C61" i="51" s="1"/>
  <c r="H56" i="14"/>
  <c r="I6" i="50" l="1"/>
  <c r="I9" i="50" s="1"/>
  <c r="E62" i="50"/>
  <c r="H56" i="12"/>
  <c r="D8" i="51"/>
  <c r="C46" i="51"/>
  <c r="C64" i="51" s="1"/>
  <c r="K56" i="12"/>
  <c r="D6" i="51" l="1"/>
  <c r="D9" i="51" s="1"/>
  <c r="K84" i="12" l="1"/>
  <c r="K85" i="12" l="1"/>
  <c r="H85" i="12"/>
  <c r="H84" i="12"/>
  <c r="H30" i="14"/>
  <c r="K30" i="14"/>
  <c r="K57" i="12" l="1"/>
  <c r="H57" i="14"/>
  <c r="K57" i="14"/>
  <c r="E63" i="50" s="1"/>
  <c r="H57" i="12"/>
  <c r="H30" i="12"/>
  <c r="K30" i="12"/>
  <c r="C65" i="51" l="1"/>
  <c r="D100" i="51" l="1"/>
  <c r="H31" i="14" l="1"/>
  <c r="H32" i="14" s="1"/>
  <c r="H86" i="12"/>
  <c r="H87" i="12"/>
  <c r="H58" i="14" l="1"/>
  <c r="H59" i="14" s="1"/>
  <c r="H58" i="12"/>
  <c r="H59" i="12" s="1"/>
  <c r="H31" i="12"/>
  <c r="H88" i="12"/>
  <c r="H32" i="12" l="1"/>
  <c r="D87" i="12"/>
  <c r="J31" i="14" l="1"/>
  <c r="J32" i="14" s="1"/>
  <c r="J58" i="14"/>
  <c r="J59" i="14" s="1"/>
  <c r="K58" i="14"/>
  <c r="D31" i="14"/>
  <c r="D32" i="14" s="1"/>
  <c r="D58" i="14"/>
  <c r="D59" i="14" s="1"/>
  <c r="D86" i="12"/>
  <c r="K31" i="14"/>
  <c r="K32" i="14" s="1"/>
  <c r="J86" i="12"/>
  <c r="K86" i="12"/>
  <c r="J87" i="12"/>
  <c r="K87" i="12"/>
  <c r="K58" i="12" l="1"/>
  <c r="J58" i="12"/>
  <c r="J59" i="12" s="1"/>
  <c r="K88" i="12"/>
  <c r="D58" i="12"/>
  <c r="D59" i="12" s="1"/>
  <c r="K31" i="12"/>
  <c r="J31" i="12"/>
  <c r="J32" i="12" s="1"/>
  <c r="D31" i="12"/>
  <c r="D88" i="12"/>
  <c r="E64" i="50"/>
  <c r="K59" i="14"/>
  <c r="J88" i="12"/>
  <c r="D32" i="12" l="1"/>
  <c r="K32" i="12"/>
  <c r="I10" i="50"/>
  <c r="I11" i="50" s="1"/>
  <c r="E65" i="50"/>
  <c r="C66" i="51"/>
  <c r="C67" i="51" s="1"/>
  <c r="K59" i="12"/>
  <c r="D101" i="51" l="1"/>
  <c r="D10" i="51"/>
  <c r="D11" i="51" s="1"/>
</calcChain>
</file>

<file path=xl/sharedStrings.xml><?xml version="1.0" encoding="utf-8"?>
<sst xmlns="http://schemas.openxmlformats.org/spreadsheetml/2006/main" count="2897" uniqueCount="252">
  <si>
    <t xml:space="preserve">Note: The file allows the user to switch between actual and notional gearing, and between cumulative RIIO-2 to date and the full RIIO-2 period. To switch, go to the RoRE 2023-24 tab and use the drop down options in cells B4 and B5. </t>
  </si>
  <si>
    <t>Sl.no.</t>
  </si>
  <si>
    <t>Links to individual tabs</t>
  </si>
  <si>
    <t>Links to individual RFPRs'</t>
  </si>
  <si>
    <t>Data</t>
  </si>
  <si>
    <t>Supporting narrative'</t>
  </si>
  <si>
    <t>RoRE by sector 2023-24'</t>
  </si>
  <si>
    <t>RoRE position 2023-24'</t>
  </si>
  <si>
    <t>RAV-Gearing'</t>
  </si>
  <si>
    <t>RIIO-2 totex performance '</t>
  </si>
  <si>
    <t>Charts (RIIO-2) '</t>
  </si>
  <si>
    <t>GD</t>
  </si>
  <si>
    <t>Cadent</t>
  </si>
  <si>
    <t>NGN</t>
  </si>
  <si>
    <t>SGN</t>
  </si>
  <si>
    <t>WWU</t>
  </si>
  <si>
    <t>GT</t>
  </si>
  <si>
    <t>ET</t>
  </si>
  <si>
    <t>NGET</t>
  </si>
  <si>
    <t>SPT</t>
  </si>
  <si>
    <t>SHET</t>
  </si>
  <si>
    <t>ED</t>
  </si>
  <si>
    <t>ENWL</t>
  </si>
  <si>
    <t>NGED</t>
  </si>
  <si>
    <t>NPg</t>
  </si>
  <si>
    <t>SPEN</t>
  </si>
  <si>
    <t>SSE</t>
  </si>
  <si>
    <t>UKPN</t>
  </si>
  <si>
    <t>Input sheet - RAV Gearing'</t>
  </si>
  <si>
    <t>Links to licensee RFPR submissions for 2023/24</t>
  </si>
  <si>
    <t xml:space="preserve"> </t>
  </si>
  <si>
    <t xml:space="preserve">Each company has submitted a licensee-specific RFPR for 2023/24 to Ofgem on 30 September 2024. As well as this, all companies have published their licensee-specific RFPRs (with redacted financial information) on their websites, the links for these are below. </t>
  </si>
  <si>
    <t>Sector</t>
  </si>
  <si>
    <t>Company</t>
  </si>
  <si>
    <t>Link</t>
  </si>
  <si>
    <t>Comments</t>
  </si>
  <si>
    <t xml:space="preserve">NGT (TO)          </t>
  </si>
  <si>
    <t>How we’re performing | National Gas</t>
  </si>
  <si>
    <t xml:space="preserve">NGET (TO)           </t>
  </si>
  <si>
    <t>Provide value for money | National Grid ET</t>
  </si>
  <si>
    <t>Regulatory Financial Performance Report - SP Energy Networks</t>
  </si>
  <si>
    <t>Financial Information - SSEN Transmission (ssen-transmission.co.uk)</t>
  </si>
  <si>
    <t>Reports and Publications | Cadent (cadentgas.com)</t>
  </si>
  <si>
    <t>https://www.northerngasnetworks.co.uk/document-library/</t>
  </si>
  <si>
    <t>The RFPR is saved in the document library section of NGN's website and is listed under the “Keeping Costs Down” section.Click on “more” to download the excel file and the commentary is under the "download" button.</t>
  </si>
  <si>
    <t>https://www.sgn.co.uk/reports-publications</t>
  </si>
  <si>
    <t>https://www.wwutilities.co.uk/about-us/our-company/publications/</t>
  </si>
  <si>
    <t>The RFPR is saved under 'Regulatory Accounts'.</t>
  </si>
  <si>
    <t>Document Library | Northern Powergrid</t>
  </si>
  <si>
    <t>Financial reports</t>
  </si>
  <si>
    <t>NGED Your Power Future - Regulatory Financial Performance Reporting (RFPR)</t>
  </si>
  <si>
    <t>Financial information document library - SSEN</t>
  </si>
  <si>
    <t>Regulatory information | UK Power Networks</t>
  </si>
  <si>
    <t>Reporting Year:
(enter 2014 for 2013-14)</t>
  </si>
  <si>
    <t>Reporting Year:</t>
  </si>
  <si>
    <t>2023-24</t>
  </si>
  <si>
    <t>RoRE based on Notional Gearing</t>
  </si>
  <si>
    <t>RoRE based on Actual Gearing</t>
  </si>
  <si>
    <t>Cumulative to 2024</t>
  </si>
  <si>
    <t>RIIO-2 period</t>
  </si>
  <si>
    <t xml:space="preserve"> - </t>
  </si>
  <si>
    <t>Reporting Year</t>
  </si>
  <si>
    <t xml:space="preserve">Price base </t>
  </si>
  <si>
    <t>GD&amp;T</t>
  </si>
  <si>
    <t>ED*</t>
  </si>
  <si>
    <t>2009-10</t>
  </si>
  <si>
    <t>2010-11</t>
  </si>
  <si>
    <t>2011-12</t>
  </si>
  <si>
    <t>2012-13</t>
  </si>
  <si>
    <t>2013-14</t>
  </si>
  <si>
    <t>2014-15</t>
  </si>
  <si>
    <t>2015-16</t>
  </si>
  <si>
    <t>2016-17</t>
  </si>
  <si>
    <t>2017-18</t>
  </si>
  <si>
    <t>2018-19</t>
  </si>
  <si>
    <t>2019-20</t>
  </si>
  <si>
    <t>2020-21</t>
  </si>
  <si>
    <t>2021-22</t>
  </si>
  <si>
    <t>2022-23</t>
  </si>
  <si>
    <t>2024-25</t>
  </si>
  <si>
    <t>2025-26</t>
  </si>
  <si>
    <t>2027*</t>
  </si>
  <si>
    <t>2026-27</t>
  </si>
  <si>
    <t>2028*</t>
  </si>
  <si>
    <t>2027-28</t>
  </si>
  <si>
    <t xml:space="preserve">This appendix sets out our view of RIIO-2 network companies’ regulatory financial performance. This view is based on the information that the companies have reported in 2023/24 using the regulatory financial performance reporting (RFPR) process. 
</t>
  </si>
  <si>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</si>
  <si>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t xml:space="preserve">RoRE performance is based on notional and actual gearing, by sector for the RIIO-2 period, this includes actual performance to date and licensee forecast performance for the remainder of RIIO-2.
Notional gearing represents the assumed percentage of net debt to RAV for a notional company for each sector, this was set as part of RIIO-2 price control. Actual gearing is the actual percentage of regulated net debt to RAV of each licensee.
</t>
  </si>
  <si>
    <t xml:space="preserve">Totex out (under) performance (allowance vs actual/forecast spend) - this is a comparison between the totex allowances set against actual and forecast totex spend, including any enduring value adjustments.
Totex outperformance, as part of the RoRE calculations, is the amount of any Totex under/overspend the company retains/bears.
</t>
  </si>
  <si>
    <t xml:space="preserve">Gearing and Financing - The RIIO-2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</si>
  <si>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</si>
  <si>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 xml:space="preserve">Performance relates to RIIO-2 and does not include performance for Electricity System Operator(ESO), NGT SO, Transmission Incentive Renewable Generation (TIRG) or non-regulated parts of the company.
</t>
  </si>
  <si>
    <t>Financing performance is assessed using actual cost of debt for each licensee compared to the cost of debt regulatory allowance. The Cost of Debt allowance value is calculated with reference to a trailing average index of debt costs. For GD2, GT2, and most ET2 licensees, the trailing index opens with an 10-year period at the outset of the Price Control Period, extending by a year up to 14 years (up to the end of October in the year prior to the financial year in question) at each AIP. For SHE-Transmission, the index also increases from 10 to 14 years during the Price Control Period but with bespoke weightings according to RAV.</t>
  </si>
  <si>
    <t>Performance relating to 'Penalties and fines' also include guaranteed standard (GS) payments.</t>
  </si>
  <si>
    <t>RoRE by sector based on 2023-24 reporting</t>
  </si>
  <si>
    <t>Industry</t>
  </si>
  <si>
    <t>RIIO-2</t>
  </si>
  <si>
    <t>Allowed Equity Return + BPI</t>
  </si>
  <si>
    <t>Operational performance - Totex</t>
  </si>
  <si>
    <t>Operational performance - other</t>
  </si>
  <si>
    <t>Operational RoRE</t>
  </si>
  <si>
    <t>Financing and tax performance</t>
  </si>
  <si>
    <t>Total RoRE</t>
  </si>
  <si>
    <r>
      <rPr>
        <b/>
        <vertAlign val="superscript"/>
        <sz val="8"/>
        <color theme="1"/>
        <rFont val="Verdana"/>
        <family val="2"/>
      </rPr>
      <t>(1)</t>
    </r>
  </si>
  <si>
    <r>
      <rPr>
        <vertAlign val="superscript"/>
        <sz val="8"/>
        <rFont val="Verdana"/>
        <family val="2"/>
      </rPr>
      <t>(1)</t>
    </r>
    <r>
      <rPr>
        <sz val="8"/>
        <rFont val="Verdana"/>
        <family val="2"/>
      </rPr>
      <t xml:space="preserve"> Totex out (under) performance is measured as the proportion of actual expenditure relative to the allowed expenditure; it should not be misinterpreted as a component of RoRE reflected on row 7.</t>
    </r>
  </si>
  <si>
    <t>RIIO-GD2</t>
  </si>
  <si>
    <t>RIIO-ED2</t>
  </si>
  <si>
    <t>Allowed Equity Return</t>
  </si>
  <si>
    <t>Totex outperformance</t>
  </si>
  <si>
    <t>Business Plan Incentive</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</si>
  <si>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</si>
  <si>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</si>
  <si>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</si>
  <si>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</si>
  <si>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</si>
  <si>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</si>
  <si>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</si>
  <si>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</si>
  <si>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Network innovation input for RORE</t>
  </si>
  <si>
    <t>Carry-over Network innovation input for RORE</t>
  </si>
  <si>
    <t>Strategic innovation input for RORE</t>
  </si>
  <si>
    <t>Penalties and fines (Other Activities)</t>
  </si>
  <si>
    <t>RoRE - Operational performance</t>
  </si>
  <si>
    <t>Debt performance - at notional gearing</t>
  </si>
  <si>
    <t>Tax performance - at notional gearing</t>
  </si>
  <si>
    <t>RoRE - including financing and tax</t>
  </si>
  <si>
    <t>RIIO-ET2</t>
  </si>
  <si>
    <t>RIIO-GT2</t>
  </si>
  <si>
    <t>Table 3: Sector Average Debt and Tax Performance (impact on RORE).</t>
  </si>
  <si>
    <t>GD2</t>
  </si>
  <si>
    <t>ET2</t>
  </si>
  <si>
    <t>GT2</t>
  </si>
  <si>
    <t>ED2</t>
  </si>
  <si>
    <t xml:space="preserve">Debt Performance  </t>
  </si>
  <si>
    <t>Tax Performance</t>
  </si>
  <si>
    <t>RoRE based on 2023-24 reporting</t>
  </si>
  <si>
    <t>NGET (TO)</t>
  </si>
  <si>
    <t>NGGT (TO)</t>
  </si>
  <si>
    <t>Total RoRE - with financing and tax</t>
  </si>
  <si>
    <t>RAV Gearing</t>
  </si>
  <si>
    <r>
      <t>RAV</t>
    </r>
    <r>
      <rPr>
        <b/>
        <vertAlign val="superscript"/>
        <sz val="8"/>
        <color theme="1"/>
        <rFont val="Verdana"/>
        <family val="2"/>
      </rPr>
      <t>1</t>
    </r>
  </si>
  <si>
    <t>NPV-neutral debt element of RAV</t>
  </si>
  <si>
    <t>NPV-neutral equity element of RAV</t>
  </si>
  <si>
    <t>Adjusted NPV-neutral average RAV</t>
  </si>
  <si>
    <t>Gearing</t>
  </si>
  <si>
    <t>Cumulative to date average actual gearing</t>
  </si>
  <si>
    <t>RIIO-2 average actual gearing</t>
  </si>
  <si>
    <t>Notional gearing</t>
  </si>
  <si>
    <t>Variance From Notional</t>
  </si>
  <si>
    <t>Sector Average Actual Gearing</t>
  </si>
  <si>
    <t>Sector Average Notional Gearing</t>
  </si>
  <si>
    <r>
      <rPr>
        <vertAlign val="superscript"/>
        <sz val="8"/>
        <rFont val="Verdana"/>
        <family val="2"/>
      </rPr>
      <t>(</t>
    </r>
    <r>
      <rPr>
        <vertAlign val="superscript"/>
        <sz val="8"/>
        <color theme="1"/>
        <rFont val="Verdana"/>
        <family val="2"/>
      </rPr>
      <t>1)</t>
    </r>
    <r>
      <rPr>
        <sz val="8"/>
        <color theme="1"/>
        <rFont val="Verdana"/>
        <family val="2"/>
      </rPr>
      <t xml:space="preserve"> Simple average over RIIO-2</t>
    </r>
  </si>
  <si>
    <t>RIIO 2 Totex Performance</t>
  </si>
  <si>
    <t>Total GD</t>
  </si>
  <si>
    <t>Latest Totex actuals/forecast</t>
  </si>
  <si>
    <t>Totex allowance 
   including allowed adjustments and uncertainty mechanisms</t>
  </si>
  <si>
    <t>Totex out(under)performance (excluding enduring value adjustments)</t>
  </si>
  <si>
    <t>Total enduring value adjustments</t>
  </si>
  <si>
    <t>Totex out(under)performance (including enduring value adjustments)</t>
  </si>
  <si>
    <t>% Totex out/(under) performance</t>
  </si>
  <si>
    <t>Total ET</t>
  </si>
  <si>
    <t>Total ED</t>
  </si>
  <si>
    <t>R1 - Return on Regulatory Equity (RoRE)</t>
  </si>
  <si>
    <t>%</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</si>
  <si>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</si>
  <si>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</si>
  <si>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</si>
  <si>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</si>
  <si>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</si>
  <si>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</si>
  <si>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H100 shareholder contribution</t>
  </si>
  <si>
    <t>LTS shareholder contribution</t>
  </si>
  <si>
    <t/>
  </si>
  <si>
    <t>Debt performance - at actual gearing</t>
  </si>
  <si>
    <t>Tax performance - at actual gearing</t>
  </si>
  <si>
    <t>RoRE input values</t>
  </si>
  <si>
    <t>Input values provided in £m 18/19 prices</t>
  </si>
  <si>
    <t>Equity Return on the RAV</t>
  </si>
  <si>
    <t>£m 18/19</t>
  </si>
  <si>
    <t>Debt performance - impact of actual gearing</t>
  </si>
  <si>
    <t>Tax performance - impact of actual gearing</t>
  </si>
  <si>
    <t>NPV-neutral equity RAV based on notional gearing</t>
  </si>
  <si>
    <t>Equity RAV based on actual gearing</t>
  </si>
  <si>
    <t>Totex - GD</t>
  </si>
  <si>
    <t>Totex - Cadent</t>
  </si>
  <si>
    <t>Totex - EOE</t>
  </si>
  <si>
    <t>Totex - London</t>
  </si>
  <si>
    <t>Totex - NW</t>
  </si>
  <si>
    <t>Totex - WM</t>
  </si>
  <si>
    <t>Totex - NGN</t>
  </si>
  <si>
    <t>Totex - SGN</t>
  </si>
  <si>
    <t>Totex - Scotland</t>
  </si>
  <si>
    <t>Totex - Southern</t>
  </si>
  <si>
    <t>Totex - WWU</t>
  </si>
  <si>
    <t>NGGT</t>
  </si>
  <si>
    <t>Customer satisfaction survey ODI</t>
  </si>
  <si>
    <t>Environmental scorecard ODI</t>
  </si>
  <si>
    <t>Totex - NGGT TO</t>
  </si>
  <si>
    <t>Actuals</t>
  </si>
  <si>
    <t>Totex allowance 
   including forecast allowed adjustments and uncertainty mechanisms</t>
  </si>
  <si>
    <t xml:space="preserve">Energy not supplied ODI </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</si>
  <si>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</si>
  <si>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</si>
  <si>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</si>
  <si>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</si>
  <si>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</si>
  <si>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Totex - ET</t>
  </si>
  <si>
    <t>Totex - NGET</t>
  </si>
  <si>
    <t>Totex - SPT</t>
  </si>
  <si>
    <t>Totex - SHET</t>
  </si>
  <si>
    <t>£m 09/10</t>
  </si>
  <si>
    <t>Forecast</t>
  </si>
  <si>
    <t>a</t>
  </si>
  <si>
    <t>b</t>
  </si>
  <si>
    <t>c</t>
  </si>
  <si>
    <t>d</t>
  </si>
  <si>
    <t>e</t>
  </si>
  <si>
    <t>f</t>
  </si>
  <si>
    <t>g</t>
  </si>
  <si>
    <t>i</t>
  </si>
  <si>
    <t>ii</t>
  </si>
  <si>
    <t>iii</t>
  </si>
  <si>
    <t>iv</t>
  </si>
  <si>
    <t>v</t>
  </si>
  <si>
    <t>vi</t>
  </si>
  <si>
    <t>vii</t>
  </si>
  <si>
    <t>viii</t>
  </si>
  <si>
    <t>Input values provided in £m 20/21 prices</t>
  </si>
  <si>
    <t>£m 20/21</t>
  </si>
  <si>
    <t>Totex - ED</t>
  </si>
  <si>
    <t>h</t>
  </si>
  <si>
    <t>Totex - ENWL</t>
  </si>
  <si>
    <t>Totex - NGED</t>
  </si>
  <si>
    <t xml:space="preserve">Totex - NGED EMID </t>
  </si>
  <si>
    <t>Totex - NGED SWALES</t>
  </si>
  <si>
    <t>Totex - NGED SWEST</t>
  </si>
  <si>
    <t>Totex - NGED WMID</t>
  </si>
  <si>
    <t>NPgN</t>
  </si>
  <si>
    <t>Totex - NPg</t>
  </si>
  <si>
    <t>Totex - NPgN</t>
  </si>
  <si>
    <t>Totex - NPgY</t>
  </si>
  <si>
    <t>Totex - SPEN</t>
  </si>
  <si>
    <t>Totex - SPD</t>
  </si>
  <si>
    <t>Totex - SPMW</t>
  </si>
  <si>
    <t>Totex - SSE</t>
  </si>
  <si>
    <t>Totex - SSEH</t>
  </si>
  <si>
    <t>Totex - SSES</t>
  </si>
  <si>
    <t>Totex - UKPN</t>
  </si>
  <si>
    <t>Totex - UKPN EPN</t>
  </si>
  <si>
    <t>Totex - UKPN LPN</t>
  </si>
  <si>
    <t>Totex - UKPN SPN</t>
  </si>
  <si>
    <t>Cumulative to date/RIIO2 average actual gearing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</si>
</sst>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5">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
    <numFmt numFmtId="173" formatCode="_(* #,##0.0_);_(* \(#,##0.0\);_(* &quot;-&quot;??_);_(@_)"/>
    <numFmt numFmtId="174" formatCode="[$$-409]#,##0.00"/>
    <numFmt numFmtId="175" formatCode="#,##0.0_);\(#,##0.0\);\-_)"/>
    <numFmt numFmtId="176" formatCode="#,##0;[Red]\(#,##0\);\-"/>
    <numFmt numFmtId="177" formatCode="#,##0.0;[Red]\(#,##0.0\)"/>
    <numFmt numFmtId="178" formatCode="0.0"/>
    <numFmt numFmtId="179" formatCode="#,##0.0"/>
    <numFmt numFmtId="180" formatCode="_-* #,##0_-;\-* #,##0_-;_-* &quot;-&quot;??_-;_-@_-"/>
    <numFmt numFmtId="181" formatCode="&quot;£&quot;#,##0"/>
    <numFmt numFmtId="182" formatCode="#,##0.0\ ;\(#,##0.0\)"/>
    <numFmt numFmtId="183" formatCode="#,##0_);[Red]\(#,##0\);&quot;-&quot;"/>
    <numFmt numFmtId="184" formatCode="mmmm\ d\,\ yyyy"/>
    <numFmt numFmtId="185" formatCode="_(&quot;$&quot;#,##0_)&quot;millions&quot;;\(&quot;$&quot;#,##0\)&quot; millions&quot;"/>
    <numFmt numFmtId="186" formatCode="&quot;$&quot;#,##0.00_)\ \ \ ;\(&quot;$&quot;#,##0.00\)\ \ \ "/>
    <numFmt numFmtId="187" formatCode="&quot;$&quot;#,##0.00&quot;*&quot;\ \ ;\(&quot;$&quot;#,##0.00\)&quot;*&quot;\ \ "/>
    <numFmt numFmtId="188" formatCode="&quot;$&quot;#,##0.00\A_)\ ;\(&quot;$&quot;#,##0.00\A\)\ \ "/>
    <numFmt numFmtId="189" formatCode="&quot;$&quot;@\ "/>
    <numFmt numFmtId="190" formatCode="[$-809]d\ mmmm\ yyyy;@"/>
    <numFmt numFmtId="191" formatCode="_-[$€-2]* #,##0.00_-;\-[$€-2]* #,##0.00_-;_-[$€-2]* &quot;-&quot;??_-"/>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_);\(#,##0\);&quot;-  &quot;;&quot; &quot;@&quot; &quot;"/>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0\)"/>
    <numFmt numFmtId="213" formatCode="0;[Red]\(0\);\-"/>
    <numFmt numFmtId="214" formatCode="#,##0,_);[Red]\(#,##0,\)"/>
    <numFmt numFmtId="215" formatCode="0.0;\(0.0\);\-"/>
    <numFmt numFmtId="216" formatCode="0.00;\(0.00\);\-"/>
    <numFmt numFmtId="217" formatCode="0.00;[Red]\(0.00\);\-"/>
    <numFmt numFmtId="218" formatCode="0.000;\(0.000\);\-"/>
    <numFmt numFmtId="219" formatCode="_-&quot;£&quot;* #,##0.000_-;\-&quot;£&quot;* #,##0.000_-;_-&quot;£&quot;* &quot;-&quot;??_-;_-@_-"/>
    <numFmt numFmtId="220" formatCode="0\A"/>
    <numFmt numFmtId="221" formatCode="m\-d\-yy"/>
    <numFmt numFmtId="222" formatCode="0.0_)"/>
    <numFmt numFmtId="223" formatCode="_ &quot;R&quot;\ * #,##0_ ;_ &quot;R&quot;\ * \-#,##0_ ;_ &quot;R&quot;\ * &quot;-&quot;_ ;_ @_ "/>
    <numFmt numFmtId="224" formatCode="0.00\ "/>
    <numFmt numFmtId="225" formatCode="#,##0.0,,,&quot;bn&quot;"/>
    <numFmt numFmtId="226" formatCode="0.0%_);[Red]\(0.0%\)"/>
    <numFmt numFmtId="227" formatCode="0.0%;\(0.0\)%"/>
    <numFmt numFmtId="228" formatCode="0&quot; bp&quot;"/>
    <numFmt numFmtId="229" formatCode="_(* #,##0.0_);_(* \(#,##0.0\);_(* &quot;-&quot;?_);@_)"/>
    <numFmt numFmtId="230" formatCode="\•\ \ @"/>
    <numFmt numFmtId="231" formatCode="#,##0_);[Red]\(#,##0\);&quot;-&quot;_);[Blue]&quot;Error-&quot;@"/>
    <numFmt numFmtId="232" formatCode="#,##0.0_);[Red]\(#,##0.0\);&quot;-&quot;_);[Blue]&quot;Error-&quot;@"/>
    <numFmt numFmtId="233" formatCode="_-* #,##0_-;* \(#,##0\)_-;_-@_-"/>
    <numFmt numFmtId="234" formatCode="0.000_)"/>
    <numFmt numFmtId="235" formatCode="#,##0.000;[Red]\(#,##0.000\);\-"/>
    <numFmt numFmtId="236" formatCode="#,##0_%_);\(#,##0\)_%;**;@_%_)"/>
    <numFmt numFmtId="237" formatCode="#,##0.000_ ;\-#,##0.000\ "/>
    <numFmt numFmtId="238" formatCode="\$#,##0.0,,,&quot;bn&quot;"/>
    <numFmt numFmtId="239" formatCode="_-* #,##0.0000_-;\-* #,##0.0000_-;_-* &quot;-&quot;??_-;_-@_-"/>
    <numFmt numFmtId="240" formatCode="0.0_x_)_);&quot;NM&quot;_x_)_);0.0_x_)_);@_%_)"/>
    <numFmt numFmtId="241" formatCode="0.0\ \x;\(0.0\ \x\)"/>
    <numFmt numFmtId="242" formatCode="0.0_ ;\(0.0\)_ \ "/>
    <numFmt numFmtId="243" formatCode="#,##0.0_);\(#,##0.0\);&quot;--&quot;_)"/>
    <numFmt numFmtId="244" formatCode="#,##0.00_);\(#,##0.00\);&quot;--&quot;_)"/>
    <numFmt numFmtId="245" formatCode="General_)"/>
    <numFmt numFmtId="246" formatCode="#&quot; mins&quot;"/>
    <numFmt numFmtId="247" formatCode="m/d"/>
    <numFmt numFmtId="248" formatCode="0.0\ \ \x\ ;\(0.0\)\ \ \x\ "/>
    <numFmt numFmtId="249" formatCode="@\ \ \ \ \ "/>
    <numFmt numFmtId="250" formatCode="\ \ _•\–\ \ \ \ @"/>
    <numFmt numFmtId="251" formatCode="d\-mmm\-yyyy"/>
    <numFmt numFmtId="252" formatCode="&quot;$&quot;#,##0.0;[Red]&quot;$&quot;#,##0.0"/>
    <numFmt numFmtId="253" formatCode="0.00,,;[Red]\(0.00,,\);\-"/>
    <numFmt numFmtId="254" formatCode="_-* #,##0\ _D_M_-;\-* #,##0\ _D_M_-;_-* &quot;-&quot;\ _D_M_-;_-@_-"/>
    <numFmt numFmtId="255" formatCode="_-* #,##0.00\ _D_M_-;\-* #,##0.00\ _D_M_-;_-* &quot;-&quot;??\ _D_M_-;_-@_-"/>
    <numFmt numFmtId="256" formatCode="#,##0.00_)\ \ \ \ \ ;\(#,##0.00\)\ \ \ \ \ "/>
    <numFmt numFmtId="257" formatCode="&quot;$&quot;#,##0.00_)\ \ \ \ \ ;\(&quot;$&quot;#,##0.00\)\ \ \ \ \ "/>
    <numFmt numFmtId="258" formatCode="&quot;$&quot;#,##0.00\A\ \ \ \ ;\(&quot;$&quot;#,##0.00\A\)\ \ \ \ "/>
    <numFmt numFmtId="259" formatCode="&quot;$&quot;#,##0.00&quot;E&quot;\ \ \ \ ;\(&quot;$&quot;#,##0.00&quot;E&quot;\)\ \ \ \ "/>
    <numFmt numFmtId="260" formatCode="#,##0.00\A\ \ \ \ ;\(#,##0.00\A\)\ \ \ \ "/>
    <numFmt numFmtId="261" formatCode="#,##0.00&quot;E&quot;\ \ \ \ ;\(#,##0.00&quot;E&quot;\)\ \ \ \ "/>
    <numFmt numFmtId="262" formatCode="\€#,##0.0,,,&quot;bn&quot;"/>
    <numFmt numFmtId="263" formatCode="\€#,##0.0,,&quot;m&quot;"/>
    <numFmt numFmtId="264" formatCode="\€#,##0.0,&quot;k&quot;"/>
    <numFmt numFmtId="265" formatCode="[Magenta]&quot;Err&quot;;[Magenta]&quot;Err&quot;;[Blue]&quot;OK&quot;"/>
    <numFmt numFmtId="266" formatCode="General\ &quot;.&quot;"/>
    <numFmt numFmtId="267" formatCode="#,##0_);[Red]\(#,##0\);\-_)"/>
    <numFmt numFmtId="268" formatCode="0.0_)%;[Red]\(0.0%\);0.0_)%"/>
    <numFmt numFmtId="269" formatCode="[Red][&gt;1]&quot;&gt;100 %&quot;;[Red]\(0.0%\);0.0_)%"/>
    <numFmt numFmtId="270" formatCode="0%\ \ \ \ \ \ \ "/>
    <numFmt numFmtId="271" formatCode="\£#,##0.00"/>
    <numFmt numFmtId="272" formatCode="\£#,##0.0,,,&quot;bn&quot;"/>
    <numFmt numFmtId="273" formatCode="\£#,##0.0,,&quot;m&quot;"/>
    <numFmt numFmtId="274" formatCode="\£#,##0.0,&quot;k&quot;"/>
    <numFmt numFmtId="275" formatCode="0.00%;\(0.00%\)"/>
    <numFmt numFmtId="276" formatCode="0.00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F800]dddd\,\ mmmm\ dd\,\ yyyy"/>
    <numFmt numFmtId="294" formatCode="#,##0.0;[Red]\(#,##0.0\);\-"/>
    <numFmt numFmtId="295" formatCode="&quot;£&quot;#,##0.000"/>
    <numFmt numFmtId="296" formatCode="0.0\ \ \ \ \ \ "/>
    <numFmt numFmtId="297" formatCode="0.0%\ \ \ \ \ "/>
    <numFmt numFmtId="298" formatCode="0.00%;[Red]\(0.00%\);\-"/>
    <numFmt numFmtId="299" formatCode="_-* #,##0.00%_-;* \(#,##0.00\)%_-;_-@_-"/>
    <numFmt numFmtId="300" formatCode="0.0\ \x\ ;\(0.0\)\ \x\ "/>
    <numFmt numFmtId="301" formatCode="0.0%;\(0.0%\);\-"/>
    <numFmt numFmtId="302" formatCode="0.00%;\(0.00%\);\-"/>
    <numFmt numFmtId="303" formatCode="#,##0.0%_);\(#,##0.0%\);&quot;--&quot;\%_)"/>
    <numFmt numFmtId="304" formatCode="#,##0.00%_);\(#,##0.00%\);&quot;--&quot;\%_)"/>
    <numFmt numFmtId="305" formatCode="#,##0.00;[Red]\-#,##0.00;\-"/>
    <numFmt numFmtId="306" formatCode="0.000000"/>
    <numFmt numFmtId="307" formatCode="0;\-0;;@"/>
    <numFmt numFmtId="308" formatCode="&quot;$&quot;#\-##/##"/>
    <numFmt numFmtId="309" formatCode="0.000%"/>
    <numFmt numFmtId="310" formatCode="0.00\ \ \ \ "/>
    <numFmt numFmtId="311" formatCode="#,##0.0,;\(#,##0.0,\)"/>
    <numFmt numFmtId="312" formatCode="&quot;$&quot;@"/>
    <numFmt numFmtId="313" formatCode="#,##0.00;[Red]#,##0.00;\-"/>
    <numFmt numFmtId="314" formatCode="#,##0.0_);[Red]\(#,##0.0\);\-"/>
    <numFmt numFmtId="315" formatCode="#,##0.0;[Red]\-#,##0.0;\-"/>
    <numFmt numFmtId="316" formatCode="&quot;£&quot;#,##0.0"/>
    <numFmt numFmtId="317" formatCode="#,##0.0_);\-#,##0.0_);\-_)"/>
    <numFmt numFmtId="318" formatCode="dd\-mmm\-yyyy"/>
    <numFmt numFmtId="319" formatCode="#,###,##0,&quot;k&quot;"/>
    <numFmt numFmtId="320" formatCode="&quot;£&quot;#,##0.0000"/>
    <numFmt numFmtId="321" formatCode="0____"/>
    <numFmt numFmtId="322" formatCode="General\ &quot;Weighting&quot;"/>
    <numFmt numFmtId="323" formatCode="_ * #,##0.0_);_ * \(#,##0.0\)"/>
    <numFmt numFmtId="324" formatCode="0.00\ ;\-0.00\ ;&quot;- &quot;"/>
    <numFmt numFmtId="325" formatCode="\$#,##0.0,,&quot;m&quot;"/>
    <numFmt numFmtId="326" formatCode="\$#,##0.0,&quot;k&quot;"/>
    <numFmt numFmtId="327" formatCode="_-&quot;$&quot;* #,##0_-;\-&quot;$&quot;* #,##0_-;_-&quot;$&quot;* &quot;-&quot;_-;_-@_-"/>
    <numFmt numFmtId="328" formatCode="_-&quot;$&quot;* #,##0.00_-;\-&quot;$&quot;* #,##0.00_-;_-&quot;$&quot;* &quot;-&quot;??_-;_-@_-"/>
    <numFmt numFmtId="329" formatCode="_-* #,##0\ &quot;DM&quot;_-;\-* #,##0\ &quot;DM&quot;_-;_-* &quot;-&quot;\ &quot;DM&quot;_-;_-@_-"/>
    <numFmt numFmtId="330" formatCode="_-* #,##0.00\ &quot;DM&quot;_-;\-* #,##0.00\ &quot;DM&quot;_-;_-* &quot;-&quot;??\ &quot;DM&quot;_-;_-@_-"/>
    <numFmt numFmtId="331" formatCode="_-* #,##0_р_._-;\-* #,##0_р_._-;_-* &quot;-&quot;_р_._-;_-@_-"/>
    <numFmt numFmtId="332" formatCode="_-* #,##0.00_р_._-;\-* #,##0.00_р_._-;_-* &quot;-&quot;??_р_._-;_-@_-"/>
    <numFmt numFmtId="333" formatCode="dd\ mmm\ yyyy_);;&quot;-  &quot;;&quot; &quot;@"/>
    <numFmt numFmtId="334" formatCode="dd\ mmm\ yy_);;&quot;-  &quot;;&quot; &quot;@"/>
    <numFmt numFmtId="335" formatCode="#,##0.0000_);\(#,##0.0000\);&quot;-  &quot;;&quot; &quot;@"/>
    <numFmt numFmtId="336" formatCode="_-* #,##0.000_-;\-* #,##0.000_-;_-* &quot;-&quot;???_-;_-@_-"/>
    <numFmt numFmtId="337" formatCode="0.00000"/>
  </numFmts>
  <fonts count="252">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sz val="22"/>
      <color theme="1"/>
      <name val="Verdana"/>
      <family val="2"/>
    </font>
    <font>
      <b/>
      <sz val="11"/>
      <color theme="1"/>
      <name val="Verdana"/>
      <family val="2"/>
    </font>
    <font>
      <sz val="10"/>
      <color theme="8"/>
      <name val="Verdana"/>
      <family val="2"/>
    </font>
    <font>
      <sz val="8"/>
      <name val="Verdana"/>
      <family val="2"/>
    </font>
    <font>
      <i/>
      <sz val="8"/>
      <color theme="1"/>
      <name val="Verdana"/>
      <family val="2"/>
    </font>
    <font>
      <sz val="9"/>
      <color theme="1"/>
      <name val="Verdana"/>
      <family val="2"/>
    </font>
    <font>
      <sz val="9"/>
      <name val="Verdana"/>
      <family val="2"/>
    </font>
    <font>
      <b/>
      <sz val="9"/>
      <name val="Verdana"/>
      <family val="2"/>
    </font>
    <font>
      <sz val="8"/>
      <color rgb="FF000000"/>
      <name val="Verdana"/>
      <family val="2"/>
    </font>
    <font>
      <sz val="8"/>
      <color theme="1"/>
      <name val="Verdana"/>
      <family val="2"/>
    </font>
    <font>
      <b/>
      <sz val="8"/>
      <name val="Verdana"/>
      <family val="2"/>
    </font>
    <font>
      <b/>
      <sz val="8"/>
      <color theme="1"/>
      <name val="Verdana"/>
      <family val="2"/>
    </font>
    <font>
      <sz val="9"/>
      <color rgb="FFFF0000"/>
      <name val="Verdana"/>
      <family val="2"/>
    </font>
    <font>
      <sz val="8"/>
      <color rgb="FFFF0000"/>
      <name val="Verdana"/>
      <family val="2"/>
    </font>
    <font>
      <b/>
      <sz val="9"/>
      <color theme="1"/>
      <name val="Verdana"/>
      <family val="2"/>
    </font>
    <font>
      <b/>
      <vertAlign val="superscript"/>
      <sz val="8"/>
      <color theme="1"/>
      <name val="Verdana"/>
      <family val="2"/>
    </font>
    <font>
      <vertAlign val="superscript"/>
      <sz val="8"/>
      <color theme="1"/>
      <name val="Verdana"/>
      <family val="2"/>
    </font>
    <font>
      <sz val="8"/>
      <color theme="0" tint="-0.249977111117893"/>
      <name val="Verdana"/>
      <family val="2"/>
    </font>
    <font>
      <b/>
      <i/>
      <sz val="9"/>
      <color theme="1"/>
      <name val="Verdana"/>
      <family val="2"/>
    </font>
    <font>
      <sz val="9"/>
      <color theme="0" tint="-0.14999847407452621"/>
      <name val="Verdana"/>
      <family val="2"/>
    </font>
    <font>
      <b/>
      <sz val="9"/>
      <color rgb="FFFFFFFF"/>
      <name val="CG Omega"/>
      <family val="2"/>
    </font>
    <font>
      <b/>
      <sz val="9"/>
      <name val="CG Omega"/>
      <family val="2"/>
    </font>
    <font>
      <sz val="9"/>
      <color rgb="FF000000"/>
      <name val="Verdana"/>
      <family val="2"/>
    </font>
    <font>
      <b/>
      <sz val="9"/>
      <color rgb="FF000000"/>
      <name val="Verdana"/>
      <family val="2"/>
    </font>
    <font>
      <b/>
      <sz val="9"/>
      <color rgb="FFFFFFFF"/>
      <name val="Verdana"/>
      <family val="2"/>
    </font>
    <font>
      <sz val="9"/>
      <color indexed="8"/>
      <name val="Verdana"/>
      <family val="2"/>
    </font>
    <font>
      <b/>
      <sz val="9"/>
      <color indexed="8"/>
      <name val="Verdana"/>
      <family val="2"/>
    </font>
    <font>
      <b/>
      <sz val="12"/>
      <name val="CG Omega"/>
      <family val="2"/>
    </font>
    <font>
      <sz val="12"/>
      <color indexed="8"/>
      <name val="Verdana"/>
      <family val="2"/>
    </font>
    <font>
      <b/>
      <sz val="12"/>
      <color indexed="8"/>
      <name val="Verdana"/>
      <family val="2"/>
    </font>
    <font>
      <sz val="12"/>
      <color theme="1"/>
      <name val="Verdana"/>
      <family val="2"/>
    </font>
    <font>
      <b/>
      <sz val="11"/>
      <name val="CG Omega"/>
      <family val="2"/>
    </font>
    <font>
      <sz val="11"/>
      <color indexed="8"/>
      <name val="Verdana"/>
      <family val="2"/>
    </font>
    <font>
      <b/>
      <sz val="11"/>
      <color indexed="8"/>
      <name val="Verdana"/>
      <family val="2"/>
    </font>
    <font>
      <sz val="11"/>
      <color theme="1"/>
      <name val="Verdana"/>
      <family val="2"/>
    </font>
    <font>
      <vertAlign val="superscript"/>
      <sz val="8"/>
      <name val="Verdana"/>
      <family val="2"/>
    </font>
    <font>
      <i/>
      <sz val="8"/>
      <color theme="8"/>
      <name val="Verdana"/>
      <family val="2"/>
    </font>
  </fonts>
  <fills count="112">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rgb="FF43CEFF"/>
        <bgColor indexed="64"/>
      </patternFill>
    </fill>
    <fill>
      <patternFill patternType="solid">
        <fgColor theme="0"/>
        <bgColor indexed="64"/>
      </patternFill>
    </fill>
    <fill>
      <patternFill patternType="solid">
        <fgColor theme="4" tint="0.39997558519241921"/>
        <bgColor indexed="64"/>
      </patternFill>
    </fill>
    <fill>
      <patternFill patternType="solid">
        <fgColor rgb="FFFF9900"/>
        <bgColor indexed="64"/>
      </patternFill>
    </fill>
    <fill>
      <patternFill patternType="solid">
        <fgColor theme="2" tint="-9.9978637043366805E-2"/>
        <bgColor indexed="64"/>
      </patternFill>
    </fill>
    <fill>
      <patternFill patternType="solid">
        <fgColor rgb="FFED7D31"/>
        <bgColor rgb="FF000000"/>
      </patternFill>
    </fill>
    <fill>
      <patternFill patternType="solid">
        <fgColor rgb="FFBFBFBF"/>
        <bgColor rgb="FF000000"/>
      </patternFill>
    </fill>
    <fill>
      <patternFill patternType="solid">
        <fgColor rgb="FFD9D9D9"/>
        <bgColor rgb="FF000000"/>
      </patternFill>
    </fill>
    <fill>
      <patternFill patternType="solid">
        <fgColor rgb="FFCCFFFF"/>
        <bgColor rgb="FF000000"/>
      </patternFill>
    </fill>
    <fill>
      <patternFill patternType="solid">
        <fgColor rgb="FFCCFFCC"/>
        <bgColor rgb="FF000000"/>
      </patternFill>
    </fill>
    <fill>
      <patternFill patternType="solid">
        <fgColor rgb="FFCCECFF"/>
        <bgColor rgb="FF000000"/>
      </patternFill>
    </fill>
  </fills>
  <borders count="120">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auto="1"/>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indexed="64"/>
      </left>
      <right/>
      <top style="thin">
        <color indexed="64"/>
      </top>
      <bottom style="thin">
        <color theme="0" tint="-0.499984740745262"/>
      </bottom>
      <diagonal/>
    </border>
    <border>
      <left/>
      <right style="thin">
        <color theme="0" tint="-0.499984740745262"/>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rgb="FF808080"/>
      </right>
      <top style="thin">
        <color indexed="64"/>
      </top>
      <bottom style="thin">
        <color indexed="64"/>
      </bottom>
      <diagonal/>
    </border>
    <border>
      <left style="thin">
        <color indexed="64"/>
      </left>
      <right style="thin">
        <color rgb="FF808080"/>
      </right>
      <top style="thin">
        <color indexed="64"/>
      </top>
      <bottom style="thin">
        <color rgb="FF808080"/>
      </bottom>
      <diagonal/>
    </border>
    <border>
      <left style="thin">
        <color rgb="FF808080"/>
      </left>
      <right style="thin">
        <color indexed="64"/>
      </right>
      <top style="thin">
        <color indexed="64"/>
      </top>
      <bottom style="thin">
        <color rgb="FF808080"/>
      </bottom>
      <diagonal/>
    </border>
    <border>
      <left style="thin">
        <color rgb="FF808080"/>
      </left>
      <right/>
      <top/>
      <bottom/>
      <diagonal/>
    </border>
    <border>
      <left style="medium">
        <color indexed="64"/>
      </left>
      <right/>
      <top/>
      <bottom/>
      <diagonal/>
    </border>
    <border>
      <left style="thin">
        <color theme="0" tint="-0.499984740745262"/>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s>
  <cellStyleXfs count="42538">
    <xf numFmtId="0" fontId="0" fillId="0" borderId="0"/>
    <xf numFmtId="16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9" fontId="1" fillId="0" borderId="0" applyFont="0" applyFill="0" applyBorder="0" applyAlignment="0" applyProtection="0"/>
    <xf numFmtId="174" fontId="10" fillId="0" borderId="0"/>
    <xf numFmtId="0" fontId="13" fillId="0" borderId="0"/>
    <xf numFmtId="0" fontId="1" fillId="0" borderId="0"/>
    <xf numFmtId="175" fontId="14" fillId="12" borderId="0"/>
    <xf numFmtId="9" fontId="1" fillId="0" borderId="0" applyFont="0" applyFill="0" applyBorder="0" applyAlignment="0" applyProtection="0"/>
    <xf numFmtId="169" fontId="1" fillId="0" borderId="0" applyFont="0" applyFill="0" applyBorder="0" applyAlignment="0" applyProtection="0"/>
    <xf numFmtId="0" fontId="1" fillId="0" borderId="0"/>
    <xf numFmtId="9" fontId="13" fillId="0" borderId="0" applyFont="0" applyFill="0" applyBorder="0" applyAlignment="0" applyProtection="0"/>
    <xf numFmtId="171"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9" fontId="1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0" fontId="1" fillId="0" borderId="0"/>
    <xf numFmtId="16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11" fillId="0" borderId="0">
      <alignment vertical="top"/>
    </xf>
    <xf numFmtId="174" fontId="11" fillId="0" borderId="0">
      <alignment vertical="top"/>
    </xf>
    <xf numFmtId="182" fontId="15" fillId="0" borderId="0"/>
    <xf numFmtId="165" fontId="16" fillId="13" borderId="16">
      <alignment horizontal="center"/>
      <protection locked="0"/>
    </xf>
    <xf numFmtId="183" fontId="11" fillId="0" borderId="0"/>
    <xf numFmtId="183" fontId="11" fillId="0" borderId="0"/>
    <xf numFmtId="183" fontId="11" fillId="0" borderId="0"/>
    <xf numFmtId="183" fontId="11" fillId="0" borderId="0"/>
    <xf numFmtId="183" fontId="11" fillId="0" borderId="0"/>
    <xf numFmtId="174" fontId="17" fillId="0" borderId="0"/>
    <xf numFmtId="182" fontId="15" fillId="0" borderId="0"/>
    <xf numFmtId="183" fontId="11" fillId="0" borderId="0"/>
    <xf numFmtId="183" fontId="11" fillId="0" borderId="0"/>
    <xf numFmtId="183" fontId="11" fillId="0" borderId="0"/>
    <xf numFmtId="183" fontId="11" fillId="0" borderId="0"/>
    <xf numFmtId="183" fontId="11" fillId="0" borderId="0"/>
    <xf numFmtId="184" fontId="18" fillId="0" borderId="0" applyFont="0" applyFill="0" applyBorder="0" applyAlignment="0" applyProtection="0">
      <protection locked="0"/>
    </xf>
    <xf numFmtId="185" fontId="17" fillId="0" borderId="0">
      <alignment horizontal="right"/>
    </xf>
    <xf numFmtId="186" fontId="17" fillId="14" borderId="0"/>
    <xf numFmtId="187" fontId="17" fillId="14" borderId="0"/>
    <xf numFmtId="188" fontId="17" fillId="14" borderId="0"/>
    <xf numFmtId="189" fontId="17" fillId="14" borderId="0">
      <alignment horizontal="right"/>
    </xf>
    <xf numFmtId="0" fontId="10" fillId="0" borderId="0"/>
    <xf numFmtId="190" fontId="10" fillId="0" borderId="0"/>
    <xf numFmtId="19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91" fontId="11" fillId="0" borderId="0"/>
    <xf numFmtId="191" fontId="11" fillId="0" borderId="0"/>
    <xf numFmtId="0" fontId="11" fillId="0" borderId="0"/>
    <xf numFmtId="182" fontId="11" fillId="0" borderId="0"/>
    <xf numFmtId="187"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4" fontId="11" fillId="0" borderId="0"/>
    <xf numFmtId="0" fontId="11" fillId="0" borderId="0"/>
    <xf numFmtId="174" fontId="10"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4" fontId="10" fillId="0" borderId="0"/>
    <xf numFmtId="0" fontId="11" fillId="0" borderId="0"/>
    <xf numFmtId="0" fontId="11" fillId="0" borderId="0"/>
    <xf numFmtId="0" fontId="11" fillId="0" borderId="0"/>
    <xf numFmtId="19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4" fontId="11" fillId="0" borderId="0" applyBorder="0"/>
    <xf numFmtId="174" fontId="19" fillId="0" borderId="0" applyNumberFormat="0" applyFont="0" applyFill="0" applyBorder="0" applyAlignment="0" applyProtection="0"/>
    <xf numFmtId="167" fontId="11" fillId="0" borderId="0" applyFont="0" applyFill="0" applyBorder="0" applyAlignment="0" applyProtection="0"/>
    <xf numFmtId="174" fontId="20" fillId="0" borderId="0" applyNumberFormat="0" applyFill="0" applyBorder="0" applyAlignment="0" applyProtection="0">
      <alignment vertical="top"/>
      <protection locked="0"/>
    </xf>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3"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4"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4" fontId="23" fillId="0" borderId="0"/>
    <xf numFmtId="174" fontId="11" fillId="0" borderId="0" applyFont="0" applyFill="0" applyBorder="0" applyAlignment="0" applyProtection="0"/>
    <xf numFmtId="174" fontId="23" fillId="0" borderId="0"/>
    <xf numFmtId="174"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4" fontId="11" fillId="0" borderId="0"/>
    <xf numFmtId="174" fontId="11" fillId="0" borderId="0"/>
    <xf numFmtId="17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4" fontId="11" fillId="0" borderId="0" applyFont="0" applyFill="0" applyBorder="0" applyAlignment="0" applyProtection="0"/>
    <xf numFmtId="174" fontId="15" fillId="0" borderId="0" applyFont="0" applyFill="0" applyBorder="0" applyAlignment="0" applyProtection="0"/>
    <xf numFmtId="194" fontId="11" fillId="0" borderId="0" applyFont="0" applyFill="0" applyBorder="0" applyAlignment="0" applyProtection="0"/>
    <xf numFmtId="174" fontId="11" fillId="0" borderId="0"/>
    <xf numFmtId="174" fontId="11" fillId="0" borderId="0"/>
    <xf numFmtId="0" fontId="11" fillId="0" borderId="0"/>
    <xf numFmtId="174"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74" fontId="15" fillId="0" borderId="0" applyFont="0" applyFill="0" applyBorder="0" applyAlignment="0" applyProtection="0"/>
    <xf numFmtId="196" fontId="11" fillId="0" borderId="0" applyFont="0" applyFill="0" applyBorder="0" applyAlignment="0" applyProtection="0"/>
    <xf numFmtId="195" fontId="11" fillId="0" borderId="0" applyFont="0" applyFill="0" applyBorder="0" applyAlignment="0" applyProtection="0"/>
    <xf numFmtId="196" fontId="11" fillId="0" borderId="0" applyFont="0" applyFill="0" applyBorder="0" applyAlignment="0" applyProtection="0"/>
    <xf numFmtId="39" fontId="11" fillId="0" borderId="0" applyFont="0" applyFill="0" applyBorder="0" applyAlignment="0" applyProtection="0"/>
    <xf numFmtId="174" fontId="15" fillId="0" borderId="0" applyFont="0" applyFill="0" applyBorder="0" applyAlignment="0" applyProtection="0"/>
    <xf numFmtId="39" fontId="11" fillId="0" borderId="0" applyFont="0" applyFill="0" applyBorder="0" applyAlignment="0" applyProtection="0"/>
    <xf numFmtId="174"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4" fontId="23" fillId="0" borderId="0"/>
    <xf numFmtId="174" fontId="20" fillId="0" borderId="0"/>
    <xf numFmtId="174" fontId="20" fillId="0" borderId="0"/>
    <xf numFmtId="38" fontId="24" fillId="0" borderId="0" applyAlignment="0" applyProtection="0"/>
    <xf numFmtId="38" fontId="24" fillId="0" borderId="0" applyFont="0" applyBorder="0" applyAlignment="0" applyProtection="0"/>
    <xf numFmtId="197"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23" fillId="0" borderId="0"/>
    <xf numFmtId="17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7"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23" fillId="0" borderId="0"/>
    <xf numFmtId="198" fontId="11" fillId="0" borderId="0" applyFont="0" applyFill="0" applyBorder="0" applyAlignment="0" applyProtection="0"/>
    <xf numFmtId="174" fontId="15"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174" fontId="15" fillId="0" borderId="0" applyFont="0" applyFill="0" applyBorder="0" applyAlignment="0" applyProtection="0"/>
    <xf numFmtId="201"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174" fontId="23" fillId="0" borderId="0"/>
    <xf numFmtId="174" fontId="23" fillId="0" borderId="0"/>
    <xf numFmtId="174" fontId="11" fillId="0" borderId="0"/>
    <xf numFmtId="0" fontId="11" fillId="0" borderId="0" applyFont="0" applyFill="0" applyBorder="0" applyAlignment="0" applyProtection="0"/>
    <xf numFmtId="174" fontId="23" fillId="0" borderId="0"/>
    <xf numFmtId="38" fontId="25" fillId="0" borderId="0" applyAlignment="0" applyProtection="0"/>
    <xf numFmtId="174" fontId="11" fillId="0" borderId="0"/>
    <xf numFmtId="174" fontId="11" fillId="0" borderId="0"/>
    <xf numFmtId="38" fontId="24" fillId="0" borderId="0" applyFont="0" applyFill="0" applyBorder="0" applyAlignment="0" applyProtection="0"/>
    <xf numFmtId="38" fontId="24" fillId="0" borderId="0" applyFont="0" applyFill="0" applyBorder="0" applyAlignment="0" applyProtection="0"/>
    <xf numFmtId="202" fontId="11" fillId="0" borderId="0" applyFont="0" applyFill="0" applyBorder="0" applyAlignment="0" applyProtection="0"/>
    <xf numFmtId="174" fontId="15"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174" fontId="15" fillId="0" borderId="0" applyFont="0" applyFill="0" applyBorder="0" applyAlignment="0" applyProtection="0"/>
    <xf numFmtId="205"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174" fontId="26" fillId="0" borderId="0"/>
    <xf numFmtId="174" fontId="26" fillId="0" borderId="0"/>
    <xf numFmtId="174" fontId="26" fillId="0" borderId="0"/>
    <xf numFmtId="174"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4"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4"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4" fontId="27" fillId="0" borderId="0" applyNumberFormat="0" applyFill="0" applyBorder="0" applyProtection="0">
      <alignment horizontal="left"/>
    </xf>
    <xf numFmtId="174"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26" fillId="0" borderId="0"/>
    <xf numFmtId="174" fontId="26" fillId="0" borderId="0"/>
    <xf numFmtId="206" fontId="29" fillId="0" borderId="0"/>
    <xf numFmtId="174" fontId="20" fillId="0" borderId="0"/>
    <xf numFmtId="174" fontId="20" fillId="0" borderId="0"/>
    <xf numFmtId="174" fontId="26" fillId="0" borderId="0"/>
    <xf numFmtId="174" fontId="26" fillId="0" borderId="0"/>
    <xf numFmtId="174" fontId="26" fillId="0" borderId="0"/>
    <xf numFmtId="0" fontId="11" fillId="0" borderId="0" applyFont="0" applyFill="0" applyBorder="0" applyAlignment="0" applyProtection="0"/>
    <xf numFmtId="174" fontId="11" fillId="0" borderId="0"/>
    <xf numFmtId="174" fontId="23" fillId="0" borderId="0"/>
    <xf numFmtId="206"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07" fontId="30" fillId="0" borderId="0" applyFont="0" applyFill="0" applyBorder="0" applyAlignment="0" applyProtection="0"/>
    <xf numFmtId="208" fontId="20" fillId="0" borderId="0" applyFont="0" applyFill="0" applyBorder="0" applyAlignment="0" applyProtection="0"/>
    <xf numFmtId="209" fontId="31" fillId="0" borderId="0"/>
    <xf numFmtId="210" fontId="20" fillId="0" borderId="0" applyFont="0" applyFill="0" applyBorder="0" applyAlignment="0" applyProtection="0"/>
    <xf numFmtId="211" fontId="30" fillId="0" borderId="0" applyFont="0" applyFill="0" applyBorder="0" applyAlignment="0" applyProtection="0"/>
    <xf numFmtId="0" fontId="10" fillId="0" borderId="0"/>
    <xf numFmtId="0" fontId="11" fillId="0" borderId="0"/>
    <xf numFmtId="0" fontId="11" fillId="0" borderId="0"/>
    <xf numFmtId="0"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4" fontId="11" fillId="0" borderId="0"/>
    <xf numFmtId="212" fontId="11" fillId="0" borderId="0" applyBorder="0"/>
    <xf numFmtId="0" fontId="11" fillId="0" borderId="0"/>
    <xf numFmtId="0" fontId="11" fillId="0" borderId="0"/>
    <xf numFmtId="174" fontId="11" fillId="0" borderId="0" applyBorder="0"/>
    <xf numFmtId="212" fontId="11" fillId="0" borderId="0" applyBorder="0"/>
    <xf numFmtId="206" fontId="29" fillId="0" borderId="0"/>
    <xf numFmtId="213" fontId="31" fillId="0" borderId="0"/>
    <xf numFmtId="213" fontId="32" fillId="0" borderId="0"/>
    <xf numFmtId="176" fontId="31" fillId="0" borderId="0"/>
    <xf numFmtId="214" fontId="18" fillId="0" borderId="0" applyFont="0" applyFill="0" applyBorder="0" applyAlignment="0" applyProtection="0">
      <protection locked="0"/>
    </xf>
    <xf numFmtId="215" fontId="33" fillId="0" borderId="0"/>
    <xf numFmtId="174" fontId="32" fillId="0" borderId="0"/>
    <xf numFmtId="215"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91"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91"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91"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1"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91"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91" fontId="37" fillId="25" borderId="0" applyNumberFormat="0" applyBorder="0" applyAlignment="0" applyProtection="0"/>
    <xf numFmtId="216" fontId="31" fillId="0" borderId="0"/>
    <xf numFmtId="217" fontId="32" fillId="0" borderId="0"/>
    <xf numFmtId="216" fontId="38" fillId="0" borderId="0"/>
    <xf numFmtId="0" fontId="11" fillId="0" borderId="0"/>
    <xf numFmtId="0" fontId="11" fillId="0" borderId="0"/>
    <xf numFmtId="218"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1"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91"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91"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1"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1"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91"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91"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91"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91"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1"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1"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91"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91"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91"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91"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1"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1"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91" fontId="41" fillId="57" borderId="0" applyNumberFormat="0" applyBorder="0" applyAlignment="0" applyProtection="0"/>
    <xf numFmtId="219" fontId="11" fillId="58" borderId="3" applyFont="0" applyFill="0" applyBorder="0" applyAlignment="0" applyProtection="0"/>
    <xf numFmtId="220" fontId="42" fillId="0" borderId="6">
      <alignment horizontal="centerContinuous"/>
    </xf>
    <xf numFmtId="221" fontId="43" fillId="59" borderId="17">
      <alignment horizontal="center" vertical="center"/>
    </xf>
    <xf numFmtId="212" fontId="18" fillId="0" borderId="0" applyFont="0" applyFill="0" applyBorder="0" applyAlignment="0" applyProtection="0"/>
    <xf numFmtId="174" fontId="18" fillId="0" borderId="0" applyFont="0" applyFill="0" applyBorder="0" applyAlignment="0" applyProtection="0"/>
    <xf numFmtId="206" fontId="44" fillId="0" borderId="0" applyNumberFormat="0" applyFont="0" applyFill="0" applyBorder="0" applyProtection="0">
      <alignment horizontal="center"/>
    </xf>
    <xf numFmtId="222" fontId="45" fillId="0" borderId="0">
      <alignment horizontal="left"/>
    </xf>
    <xf numFmtId="0" fontId="33" fillId="0" borderId="0"/>
    <xf numFmtId="223" fontId="46" fillId="0" borderId="0" applyFont="0" applyFill="0" applyBorder="0" applyAlignment="0" applyProtection="0"/>
    <xf numFmtId="174"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91"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91" fontId="50" fillId="18" borderId="0" applyNumberFormat="0" applyBorder="0" applyAlignment="0" applyProtection="0"/>
    <xf numFmtId="224" fontId="51" fillId="60" borderId="11" applyNumberFormat="0" applyBorder="0" applyAlignment="0">
      <alignment horizontal="centerContinuous" vertical="center"/>
      <protection hidden="1"/>
    </xf>
    <xf numFmtId="1" fontId="52" fillId="61" borderId="3" applyNumberFormat="0" applyBorder="0" applyAlignment="0">
      <alignment horizontal="center" vertical="top" wrapText="1"/>
      <protection hidden="1"/>
    </xf>
    <xf numFmtId="225" fontId="11" fillId="0" borderId="0" applyFont="0" applyFill="0" applyBorder="0" applyAlignment="0" applyProtection="0"/>
    <xf numFmtId="194" fontId="11" fillId="0" borderId="0" applyNumberFormat="0" applyFont="0" applyAlignment="0" applyProtection="0"/>
    <xf numFmtId="174" fontId="53" fillId="62" borderId="0">
      <alignment horizontal="left"/>
    </xf>
    <xf numFmtId="226" fontId="54" fillId="0" borderId="0" applyFill="0" applyBorder="0" applyAlignment="0" applyProtection="0"/>
    <xf numFmtId="2" fontId="55" fillId="63" borderId="4" applyProtection="0">
      <alignment horizontal="left"/>
      <protection locked="0"/>
    </xf>
    <xf numFmtId="174" fontId="43" fillId="59" borderId="0" applyNumberFormat="0" applyFont="0" applyAlignment="0">
      <alignment horizontal="center"/>
    </xf>
    <xf numFmtId="227" fontId="56" fillId="59" borderId="0" applyFont="0" applyFill="0" applyBorder="0" applyAlignment="0" applyProtection="0"/>
    <xf numFmtId="174" fontId="57" fillId="0" borderId="0" applyNumberFormat="0" applyFill="0" applyBorder="0" applyAlignment="0" applyProtection="0"/>
    <xf numFmtId="174" fontId="58" fillId="0" borderId="6" applyNumberFormat="0" applyFill="0" applyAlignment="0" applyProtection="0"/>
    <xf numFmtId="174" fontId="31" fillId="0" borderId="0"/>
    <xf numFmtId="228" fontId="59" fillId="64" borderId="0" applyFont="0" applyFill="0" applyBorder="0" applyAlignment="0" applyProtection="0"/>
    <xf numFmtId="229" fontId="15" fillId="0" borderId="0" applyAlignment="0" applyProtection="0"/>
    <xf numFmtId="49" fontId="29" fillId="0" borderId="0" applyNumberFormat="0" applyAlignment="0" applyProtection="0">
      <alignment horizontal="left"/>
    </xf>
    <xf numFmtId="49" fontId="60" fillId="0" borderId="18" applyNumberFormat="0" applyAlignment="0" applyProtection="0">
      <alignment horizontal="left" wrapText="1"/>
    </xf>
    <xf numFmtId="49" fontId="61" fillId="0" borderId="0" applyAlignment="0" applyProtection="0">
      <alignment horizontal="left"/>
    </xf>
    <xf numFmtId="230" fontId="20" fillId="0" borderId="0" applyFont="0" applyFill="0" applyBorder="0" applyAlignment="0" applyProtection="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2" fillId="0" borderId="0"/>
    <xf numFmtId="174" fontId="63" fillId="0" borderId="0"/>
    <xf numFmtId="231" fontId="15" fillId="0" borderId="0"/>
    <xf numFmtId="232" fontId="15" fillId="0" borderId="0"/>
    <xf numFmtId="174" fontId="18" fillId="0" borderId="0" applyFill="0" applyBorder="0" applyAlignment="0"/>
    <xf numFmtId="233" fontId="11" fillId="14" borderId="0"/>
    <xf numFmtId="174" fontId="11" fillId="0" borderId="0">
      <alignment vertical="center"/>
    </xf>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4" fillId="65" borderId="19" applyNumberFormat="0" applyAlignment="0" applyProtection="0"/>
    <xf numFmtId="0" fontId="65" fillId="29" borderId="19" applyNumberFormat="0" applyAlignment="0" applyProtection="0"/>
    <xf numFmtId="38" fontId="66" fillId="0" borderId="0" applyNumberFormat="0" applyFill="0" applyBorder="0" applyAlignment="0" applyProtection="0"/>
    <xf numFmtId="0" fontId="67" fillId="46" borderId="20" applyNumberFormat="0" applyAlignment="0" applyProtection="0"/>
    <xf numFmtId="0" fontId="67" fillId="66" borderId="20"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6">
      <alignment horizontal="center"/>
    </xf>
    <xf numFmtId="37" fontId="43" fillId="0" borderId="0">
      <alignment horizontal="center" vertical="center" wrapText="1"/>
    </xf>
    <xf numFmtId="1" fontId="68" fillId="0" borderId="13">
      <alignment vertical="top"/>
    </xf>
    <xf numFmtId="178" fontId="69" fillId="0" borderId="0" applyBorder="0">
      <alignment horizontal="right"/>
    </xf>
    <xf numFmtId="178" fontId="69" fillId="0" borderId="21" applyAlignment="0">
      <alignment horizontal="right"/>
    </xf>
    <xf numFmtId="234" fontId="20" fillId="0" borderId="0"/>
    <xf numFmtId="234" fontId="20" fillId="0" borderId="0"/>
    <xf numFmtId="234" fontId="20" fillId="0" borderId="0"/>
    <xf numFmtId="234" fontId="20" fillId="0" borderId="0"/>
    <xf numFmtId="234" fontId="20" fillId="0" borderId="0"/>
    <xf numFmtId="234" fontId="20" fillId="0" borderId="0"/>
    <xf numFmtId="234" fontId="20" fillId="0" borderId="0"/>
    <xf numFmtId="234" fontId="20" fillId="0" borderId="0"/>
    <xf numFmtId="38" fontId="11" fillId="0" borderId="0" applyFont="0" applyFill="0" applyBorder="0" applyAlignment="0" applyProtection="0"/>
    <xf numFmtId="206"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09" fontId="31" fillId="0" borderId="0"/>
    <xf numFmtId="235" fontId="33" fillId="0" borderId="0"/>
    <xf numFmtId="174" fontId="70" fillId="0" borderId="0" applyFont="0" applyFill="0" applyBorder="0" applyAlignment="0" applyProtection="0">
      <alignment horizontal="right"/>
    </xf>
    <xf numFmtId="236" fontId="70" fillId="0" borderId="0" applyFont="0" applyFill="0" applyBorder="0" applyAlignment="0" applyProtection="0"/>
    <xf numFmtId="174" fontId="70" fillId="0" borderId="0" applyFont="0" applyFill="0" applyBorder="0" applyAlignment="0" applyProtection="0">
      <alignment horizontal="right"/>
    </xf>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235" fontId="10" fillId="0" borderId="0" applyFont="0" applyFill="0" applyBorder="0" applyAlignment="0" applyProtection="0"/>
    <xf numFmtId="190" fontId="10" fillId="0" borderId="0" applyFont="0" applyFill="0" applyBorder="0" applyAlignment="0" applyProtection="0"/>
    <xf numFmtId="194" fontId="10" fillId="0" borderId="0" applyFont="0" applyFill="0" applyBorder="0" applyAlignment="0" applyProtection="0"/>
    <xf numFmtId="19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37"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239" fontId="10" fillId="0" borderId="0" applyFont="0" applyFill="0" applyBorder="0" applyAlignment="0" applyProtection="0"/>
    <xf numFmtId="239" fontId="10" fillId="0" borderId="0" applyFont="0" applyFill="0" applyBorder="0" applyAlignment="0" applyProtection="0"/>
    <xf numFmtId="23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3"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3"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40" fontId="1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41" fontId="11" fillId="0" borderId="0" applyFont="0" applyFill="0" applyBorder="0" applyAlignment="0" applyProtection="0"/>
    <xf numFmtId="169" fontId="35"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242" fontId="11" fillId="0" borderId="0" applyFont="0" applyFill="0" applyBorder="0" applyAlignment="0" applyProtection="0"/>
    <xf numFmtId="38" fontId="20" fillId="0" borderId="0" applyFill="0" applyBorder="0" applyProtection="0">
      <alignment horizontal="center"/>
    </xf>
    <xf numFmtId="174" fontId="72" fillId="0" borderId="0">
      <protection locked="0"/>
    </xf>
    <xf numFmtId="243" fontId="11" fillId="0" borderId="0" applyBorder="0"/>
    <xf numFmtId="244" fontId="29" fillId="0" borderId="0" applyBorder="0"/>
    <xf numFmtId="174" fontId="73" fillId="0" borderId="0"/>
    <xf numFmtId="245" fontId="11" fillId="0" borderId="0" applyFill="0" applyBorder="0">
      <alignment horizontal="left"/>
    </xf>
    <xf numFmtId="174" fontId="74" fillId="0" borderId="0" applyNumberFormat="0" applyAlignment="0">
      <alignment horizontal="left"/>
    </xf>
    <xf numFmtId="37" fontId="11" fillId="67" borderId="0" applyFont="0" applyBorder="0" applyAlignment="0" applyProtection="0"/>
    <xf numFmtId="194" fontId="26" fillId="67" borderId="0" applyFont="0" applyBorder="0" applyAlignment="0" applyProtection="0"/>
    <xf numFmtId="39" fontId="26" fillId="67" borderId="0" applyFont="0" applyBorder="0" applyAlignment="0" applyProtection="0"/>
    <xf numFmtId="179" fontId="75" fillId="0" borderId="0"/>
    <xf numFmtId="246" fontId="11" fillId="0" borderId="0" applyFont="0" applyFill="0" applyBorder="0" applyAlignment="0" applyProtection="0"/>
    <xf numFmtId="164" fontId="18" fillId="0" borderId="0" applyFont="0" applyFill="0" applyBorder="0" applyAlignment="0" applyProtection="0">
      <protection locked="0"/>
    </xf>
    <xf numFmtId="165" fontId="18" fillId="0" borderId="0" applyFont="0" applyFill="0" applyBorder="0" applyAlignment="0" applyProtection="0">
      <protection locked="0"/>
    </xf>
    <xf numFmtId="166" fontId="11" fillId="0" borderId="0">
      <alignment horizontal="right"/>
    </xf>
    <xf numFmtId="174" fontId="70" fillId="0" borderId="0" applyFont="0" applyFill="0" applyBorder="0" applyAlignment="0" applyProtection="0">
      <alignment horizontal="right"/>
    </xf>
    <xf numFmtId="174" fontId="70" fillId="0" borderId="0" applyFont="0" applyFill="0" applyBorder="0" applyAlignment="0" applyProtection="0">
      <alignment horizontal="right"/>
    </xf>
    <xf numFmtId="171" fontId="11" fillId="0" borderId="0" applyFont="0" applyFill="0" applyBorder="0" applyAlignment="0" applyProtection="0"/>
    <xf numFmtId="247" fontId="11" fillId="0" borderId="0" applyFont="0" applyFill="0" applyBorder="0" applyAlignment="0" applyProtection="0"/>
    <xf numFmtId="174" fontId="70" fillId="0" borderId="0" applyFont="0" applyFill="0" applyBorder="0" applyAlignment="0" applyProtection="0">
      <alignment horizontal="right"/>
    </xf>
    <xf numFmtId="171" fontId="11" fillId="0" borderId="0" applyFont="0" applyFill="0" applyBorder="0" applyAlignment="0" applyProtection="0"/>
    <xf numFmtId="245" fontId="1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48" fontId="11" fillId="0" borderId="0" applyFont="0" applyFill="0" applyBorder="0" applyAlignment="0" applyProtection="0"/>
    <xf numFmtId="174" fontId="11" fillId="0" borderId="0" applyFont="0" applyFill="0" applyBorder="0" applyAlignment="0" applyProtection="0"/>
    <xf numFmtId="249" fontId="17" fillId="14" borderId="4">
      <alignment horizontal="right"/>
    </xf>
    <xf numFmtId="250" fontId="20" fillId="0" borderId="0" applyFont="0" applyFill="0" applyBorder="0" applyAlignment="0" applyProtection="0"/>
    <xf numFmtId="251" fontId="11" fillId="0" borderId="0" applyFill="0" applyBorder="0"/>
    <xf numFmtId="251" fontId="11" fillId="0" borderId="0" applyFill="0" applyBorder="0"/>
    <xf numFmtId="174" fontId="70" fillId="0" borderId="0" applyFont="0" applyFill="0" applyBorder="0" applyAlignment="0" applyProtection="0"/>
    <xf numFmtId="252" fontId="11" fillId="0" borderId="0" applyFont="0" applyFill="0" applyBorder="0" applyAlignment="0" applyProtection="0"/>
    <xf numFmtId="174" fontId="70" fillId="0" borderId="0" applyFont="0" applyFill="0" applyBorder="0" applyAlignment="0" applyProtection="0"/>
    <xf numFmtId="174" fontId="69" fillId="63" borderId="0">
      <alignment horizontal="left"/>
    </xf>
    <xf numFmtId="251" fontId="11" fillId="0" borderId="0" applyFill="0" applyBorder="0"/>
    <xf numFmtId="14" fontId="11" fillId="0" borderId="0"/>
    <xf numFmtId="176" fontId="33" fillId="0" borderId="0">
      <alignment horizontal="right"/>
    </xf>
    <xf numFmtId="209" fontId="33" fillId="0" borderId="0">
      <alignment horizontal="right"/>
      <protection locked="0"/>
    </xf>
    <xf numFmtId="209" fontId="33" fillId="0" borderId="0"/>
    <xf numFmtId="253" fontId="33" fillId="0" borderId="0">
      <alignment horizontal="right"/>
      <protection locked="0"/>
    </xf>
    <xf numFmtId="209" fontId="34" fillId="0" borderId="0"/>
    <xf numFmtId="254" fontId="11" fillId="0" borderId="0" applyFont="0" applyFill="0" applyBorder="0" applyAlignment="0" applyProtection="0"/>
    <xf numFmtId="255" fontId="11" fillId="0" borderId="0" applyFont="0" applyFill="0" applyBorder="0" applyAlignment="0" applyProtection="0"/>
    <xf numFmtId="206" fontId="44" fillId="14" borderId="0" applyNumberFormat="0" applyFont="0" applyBorder="0" applyAlignment="0" applyProtection="0"/>
    <xf numFmtId="165" fontId="20" fillId="0" borderId="0" applyFill="0" applyBorder="0" applyProtection="0">
      <alignment horizontal="center"/>
    </xf>
    <xf numFmtId="164" fontId="20" fillId="0" borderId="0">
      <alignment horizontal="center"/>
    </xf>
    <xf numFmtId="165" fontId="20" fillId="0" borderId="0" applyFill="0" applyBorder="0" applyProtection="0">
      <alignment horizontal="center"/>
    </xf>
    <xf numFmtId="245" fontId="76" fillId="0" borderId="0">
      <alignment horizontal="center"/>
    </xf>
    <xf numFmtId="174" fontId="70" fillId="0" borderId="22" applyNumberFormat="0" applyFont="0" applyFill="0" applyAlignment="0" applyProtection="0"/>
    <xf numFmtId="212" fontId="77" fillId="0" borderId="2"/>
    <xf numFmtId="213" fontId="33" fillId="0" borderId="0"/>
    <xf numFmtId="38" fontId="24" fillId="0" borderId="0" applyFont="0" applyFill="0" applyBorder="0" applyAlignment="0" applyProtection="0"/>
    <xf numFmtId="174"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4" fontId="80" fillId="0" borderId="0" applyNumberFormat="0" applyAlignment="0">
      <alignment horizontal="left"/>
    </xf>
    <xf numFmtId="256" fontId="17" fillId="0" borderId="0"/>
    <xf numFmtId="257" fontId="17" fillId="0" borderId="0"/>
    <xf numFmtId="258" fontId="17" fillId="0" borderId="0"/>
    <xf numFmtId="259" fontId="17" fillId="0" borderId="0"/>
    <xf numFmtId="260" fontId="17" fillId="0" borderId="0"/>
    <xf numFmtId="261" fontId="17" fillId="0" borderId="0"/>
    <xf numFmtId="191" fontId="24" fillId="0" borderId="0" applyFont="0" applyFill="0" applyBorder="0" applyAlignment="0" applyProtection="0"/>
    <xf numFmtId="262" fontId="11" fillId="0" borderId="0" applyFont="0" applyFill="0" applyBorder="0" applyAlignment="0" applyProtection="0"/>
    <xf numFmtId="263" fontId="11" fillId="0" borderId="0" applyFont="0" applyFill="0" applyBorder="0" applyAlignment="0" applyProtection="0"/>
    <xf numFmtId="264" fontId="11" fillId="0" borderId="0" applyFont="0" applyFill="0" applyBorder="0" applyAlignment="0" applyProtection="0"/>
    <xf numFmtId="174"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4" fontId="20" fillId="66" borderId="0" applyNumberFormat="0" applyFont="0" applyBorder="0" applyAlignment="0" applyProtection="0"/>
    <xf numFmtId="174" fontId="83" fillId="0" borderId="0" applyNumberFormat="0" applyFill="0" applyBorder="0" applyAlignment="0" applyProtection="0"/>
    <xf numFmtId="265" fontId="84" fillId="0" borderId="0" applyFill="0" applyBorder="0"/>
    <xf numFmtId="15" fontId="35" fillId="0" borderId="0" applyFill="0" applyBorder="0" applyProtection="0">
      <alignment horizontal="center"/>
    </xf>
    <xf numFmtId="174" fontId="20" fillId="18" borderId="0" applyNumberFormat="0" applyFont="0" applyBorder="0" applyAlignment="0" applyProtection="0"/>
    <xf numFmtId="266" fontId="85" fillId="29" borderId="10" applyAlignment="0" applyProtection="0"/>
    <xf numFmtId="267" fontId="86" fillId="0" borderId="0" applyNumberFormat="0" applyFill="0" applyBorder="0" applyAlignment="0" applyProtection="0"/>
    <xf numFmtId="267" fontId="87" fillId="0" borderId="0" applyNumberFormat="0" applyFill="0" applyBorder="0" applyAlignment="0" applyProtection="0"/>
    <xf numFmtId="15" fontId="88" fillId="71" borderId="23">
      <alignment horizontal="center"/>
      <protection locked="0"/>
    </xf>
    <xf numFmtId="268" fontId="88" fillId="71" borderId="23" applyAlignment="0">
      <protection locked="0"/>
    </xf>
    <xf numFmtId="267" fontId="88" fillId="71" borderId="23" applyAlignment="0">
      <protection locked="0"/>
    </xf>
    <xf numFmtId="267" fontId="35" fillId="0" borderId="0" applyFill="0" applyBorder="0" applyAlignment="0" applyProtection="0"/>
    <xf numFmtId="268" fontId="35" fillId="0" borderId="0" applyFill="0" applyBorder="0" applyAlignment="0" applyProtection="0"/>
    <xf numFmtId="269" fontId="35" fillId="0" borderId="0" applyFill="0" applyBorder="0" applyAlignment="0" applyProtection="0"/>
    <xf numFmtId="174" fontId="20" fillId="0" borderId="24" applyNumberFormat="0" applyFont="0" applyAlignment="0" applyProtection="0"/>
    <xf numFmtId="174" fontId="20" fillId="0" borderId="25" applyNumberFormat="0" applyFont="0" applyAlignment="0" applyProtection="0"/>
    <xf numFmtId="174" fontId="20" fillId="28"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4" fontId="72" fillId="0" borderId="0">
      <protection locked="0"/>
    </xf>
    <xf numFmtId="245" fontId="91" fillId="0" borderId="0"/>
    <xf numFmtId="245" fontId="91" fillId="0" borderId="0"/>
    <xf numFmtId="174" fontId="92" fillId="0" borderId="0"/>
    <xf numFmtId="174" fontId="93" fillId="0" borderId="0" applyFill="0" applyBorder="0" applyProtection="0">
      <alignment horizontal="left"/>
    </xf>
    <xf numFmtId="4" fontId="94" fillId="0" borderId="0">
      <protection locked="0"/>
    </xf>
    <xf numFmtId="267" fontId="95" fillId="73" borderId="4" applyBorder="0" applyAlignment="0" applyProtection="0"/>
    <xf numFmtId="179" fontId="96" fillId="0" borderId="0"/>
    <xf numFmtId="257" fontId="17" fillId="0" borderId="26"/>
    <xf numFmtId="270" fontId="17" fillId="14" borderId="4">
      <alignment horizontal="right"/>
    </xf>
    <xf numFmtId="271" fontId="11" fillId="0" borderId="0" applyFont="0" applyFill="0" applyBorder="0" applyAlignment="0" applyProtection="0"/>
    <xf numFmtId="272" fontId="97" fillId="0" borderId="0" applyFont="0" applyFill="0" applyBorder="0" applyAlignment="0" applyProtection="0"/>
    <xf numFmtId="273" fontId="11" fillId="0" borderId="0" applyFont="0" applyFill="0" applyBorder="0" applyAlignment="0" applyProtection="0"/>
    <xf numFmtId="274" fontId="97" fillId="0" borderId="0" applyFont="0" applyFill="0" applyBorder="0" applyAlignment="0" applyProtection="0"/>
    <xf numFmtId="174"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4"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5" fontId="69" fillId="75" borderId="12" applyNumberFormat="0" applyFont="0" applyAlignment="0"/>
    <xf numFmtId="174" fontId="70" fillId="0" borderId="0" applyFont="0" applyFill="0" applyBorder="0" applyAlignment="0" applyProtection="0">
      <alignment horizontal="right"/>
    </xf>
    <xf numFmtId="174" fontId="100" fillId="0" borderId="0" applyProtection="0">
      <alignment horizontal="right"/>
    </xf>
    <xf numFmtId="174" fontId="56" fillId="0" borderId="15" applyNumberFormat="0" applyAlignment="0" applyProtection="0">
      <alignment horizontal="left" vertical="center"/>
    </xf>
    <xf numFmtId="174" fontId="56" fillId="0" borderId="10">
      <alignment horizontal="left" vertical="center"/>
    </xf>
    <xf numFmtId="2" fontId="52" fillId="61" borderId="0" applyAlignment="0">
      <alignment horizontal="right"/>
      <protection locked="0"/>
    </xf>
    <xf numFmtId="0" fontId="101" fillId="0" borderId="27"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29" applyNumberFormat="0" applyFill="0" applyAlignment="0" applyProtection="0"/>
    <xf numFmtId="0" fontId="105" fillId="0" borderId="18" applyNumberFormat="0" applyFill="0" applyAlignment="0" applyProtection="0"/>
    <xf numFmtId="0" fontId="106" fillId="0" borderId="30"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4" fontId="20" fillId="0" borderId="0">
      <protection locked="0"/>
    </xf>
    <xf numFmtId="174" fontId="20" fillId="0" borderId="0">
      <protection locked="0"/>
    </xf>
    <xf numFmtId="276" fontId="107" fillId="0" borderId="0">
      <alignment horizontal="right"/>
    </xf>
    <xf numFmtId="174" fontId="88" fillId="0" borderId="31" applyNumberFormat="0" applyFill="0" applyAlignment="0" applyProtection="0"/>
    <xf numFmtId="206"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1"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91" fontId="116" fillId="0" borderId="0" applyNumberFormat="0" applyFill="0" applyBorder="0" applyAlignment="0" applyProtection="0">
      <alignment vertical="top"/>
      <protection locked="0"/>
    </xf>
    <xf numFmtId="174" fontId="117" fillId="0" borderId="0">
      <alignment wrapText="1"/>
    </xf>
    <xf numFmtId="10" fontId="29" fillId="75" borderId="12" applyNumberFormat="0" applyBorder="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8" fillId="55" borderId="19" applyNumberFormat="0" applyAlignment="0" applyProtection="0"/>
    <xf numFmtId="0" fontId="119" fillId="25" borderId="19" applyNumberFormat="0" applyAlignment="0" applyProtection="0"/>
    <xf numFmtId="174" fontId="88" fillId="0" borderId="0" applyNumberFormat="0" applyFill="0" applyBorder="0" applyAlignment="0">
      <protection locked="0"/>
    </xf>
    <xf numFmtId="0" fontId="120" fillId="19" borderId="0"/>
    <xf numFmtId="233" fontId="43" fillId="76" borderId="0">
      <protection locked="0"/>
    </xf>
    <xf numFmtId="180" fontId="20" fillId="0" borderId="0"/>
    <xf numFmtId="178" fontId="11" fillId="0" borderId="0"/>
    <xf numFmtId="174" fontId="11" fillId="0" borderId="0" applyNumberFormat="0" applyFont="0" applyFill="0" applyBorder="0" applyProtection="0">
      <alignment horizontal="left" vertical="center"/>
    </xf>
    <xf numFmtId="174" fontId="29" fillId="14" borderId="0"/>
    <xf numFmtId="38" fontId="121" fillId="0" borderId="0" applyNumberFormat="0" applyFill="0" applyBorder="0" applyAlignment="0" applyProtection="0"/>
    <xf numFmtId="0" fontId="122" fillId="0" borderId="32" applyNumberFormat="0" applyFill="0" applyAlignment="0" applyProtection="0"/>
    <xf numFmtId="0" fontId="123" fillId="0" borderId="33" applyNumberFormat="0" applyFill="0" applyAlignment="0" applyProtection="0"/>
    <xf numFmtId="198" fontId="30" fillId="0" borderId="0" applyFont="0" applyFill="0" applyBorder="0" applyAlignment="0" applyProtection="0">
      <alignment horizontal="right"/>
    </xf>
    <xf numFmtId="277"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278"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174" fontId="17" fillId="0" borderId="0">
      <alignment horizontal="right"/>
    </xf>
    <xf numFmtId="40" fontId="124" fillId="0" borderId="0">
      <alignment horizontal="right"/>
    </xf>
    <xf numFmtId="37" fontId="125" fillId="0" borderId="0"/>
    <xf numFmtId="174" fontId="126" fillId="0" borderId="0">
      <alignment vertical="center"/>
    </xf>
    <xf numFmtId="174" fontId="11" fillId="0" borderId="0" applyNumberForma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79" fontId="11" fillId="0" borderId="0" applyFont="0" applyFill="0" applyBorder="0" applyAlignment="0" applyProtection="0"/>
    <xf numFmtId="181" fontId="11" fillId="0" borderId="0" applyFont="0" applyFill="0" applyBorder="0" applyAlignment="0" applyProtection="0"/>
    <xf numFmtId="280" fontId="17" fillId="0" borderId="0">
      <alignment horizontal="right"/>
    </xf>
    <xf numFmtId="174" fontId="127" fillId="0" borderId="21"/>
    <xf numFmtId="281" fontId="24" fillId="0" borderId="0" applyFont="0" applyFill="0" applyBorder="0" applyAlignment="0" applyProtection="0"/>
    <xf numFmtId="282" fontId="24"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283" fontId="29" fillId="75" borderId="0">
      <alignment horizontal="center"/>
    </xf>
    <xf numFmtId="284" fontId="20" fillId="0" borderId="0" applyFill="0" applyBorder="0" applyProtection="0">
      <alignment horizontal="center"/>
    </xf>
    <xf numFmtId="285" fontId="20" fillId="0" borderId="0" applyFont="0" applyFill="0" applyBorder="0" applyAlignment="0" applyProtection="0">
      <alignment horizontal="centerContinuous"/>
      <protection locked="0"/>
    </xf>
    <xf numFmtId="286"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92"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7" fontId="18" fillId="0" borderId="0"/>
    <xf numFmtId="287" fontId="18" fillId="0" borderId="6"/>
    <xf numFmtId="287" fontId="18" fillId="0" borderId="34"/>
    <xf numFmtId="287" fontId="18" fillId="0" borderId="0"/>
    <xf numFmtId="288" fontId="33" fillId="0" borderId="0"/>
    <xf numFmtId="289" fontId="33" fillId="0" borderId="0"/>
    <xf numFmtId="290" fontId="33" fillId="0" borderId="0"/>
    <xf numFmtId="291" fontId="29" fillId="0" borderId="0"/>
    <xf numFmtId="292"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1" fontId="1" fillId="0" borderId="0"/>
    <xf numFmtId="191" fontId="1" fillId="0" borderId="0"/>
    <xf numFmtId="191"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9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91"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4"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3" fontId="36" fillId="0" borderId="0" applyFill="0" applyBorder="0" applyAlignment="0" applyProtection="0"/>
    <xf numFmtId="191"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4"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0" fontId="1" fillId="0" borderId="0"/>
    <xf numFmtId="190" fontId="71" fillId="0" borderId="0"/>
    <xf numFmtId="190" fontId="71" fillId="0" borderId="0"/>
    <xf numFmtId="190" fontId="71" fillId="0" borderId="0"/>
    <xf numFmtId="190" fontId="71" fillId="0" borderId="0"/>
    <xf numFmtId="190" fontId="71" fillId="0" borderId="0"/>
    <xf numFmtId="190" fontId="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1"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91" fontId="1" fillId="0" borderId="0"/>
    <xf numFmtId="0" fontId="35" fillId="0" borderId="0"/>
    <xf numFmtId="0" fontId="1" fillId="0" borderId="0"/>
    <xf numFmtId="0" fontId="1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1"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4" fontId="31" fillId="0" borderId="34"/>
    <xf numFmtId="0" fontId="88" fillId="0" borderId="0" applyFill="0" applyBorder="0">
      <protection locked="0"/>
    </xf>
    <xf numFmtId="174" fontId="11" fillId="0" borderId="0"/>
    <xf numFmtId="174" fontId="136" fillId="0" borderId="0"/>
    <xf numFmtId="174" fontId="137" fillId="0" borderId="0"/>
    <xf numFmtId="174" fontId="138" fillId="0" borderId="0"/>
    <xf numFmtId="174" fontId="139" fillId="0" borderId="0"/>
    <xf numFmtId="174" fontId="26" fillId="0" borderId="0"/>
    <xf numFmtId="38" fontId="140" fillId="0" borderId="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191"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54" borderId="35" applyNumberFormat="0" applyFont="0" applyAlignment="0" applyProtection="0"/>
    <xf numFmtId="0" fontId="11" fillId="19" borderId="35" applyNumberFormat="0" applyFont="0" applyAlignment="0" applyProtection="0"/>
    <xf numFmtId="295" fontId="11" fillId="77" borderId="5" applyFont="0" applyFill="0" applyBorder="0" applyAlignment="0" applyProtection="0">
      <alignment vertical="center"/>
    </xf>
    <xf numFmtId="174" fontId="11" fillId="0" borderId="0"/>
    <xf numFmtId="0" fontId="16" fillId="13" borderId="16">
      <alignment horizontal="center"/>
      <protection locked="0"/>
    </xf>
    <xf numFmtId="37" fontId="11" fillId="0" borderId="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78" borderId="0">
      <alignment horizontal="right"/>
    </xf>
    <xf numFmtId="174" fontId="141" fillId="38" borderId="36" applyNumberFormat="0" applyBorder="0" applyAlignment="0">
      <alignment horizontal="center"/>
      <protection hidden="1"/>
    </xf>
    <xf numFmtId="174" fontId="142" fillId="0" borderId="36" applyNumberFormat="0" applyBorder="0" applyAlignment="0">
      <alignment horizontal="center"/>
      <protection locked="0"/>
    </xf>
    <xf numFmtId="2" fontId="143" fillId="63" borderId="4">
      <alignment horizontal="left"/>
    </xf>
    <xf numFmtId="0" fontId="33" fillId="13" borderId="16">
      <alignment horizontal="left" wrapText="1"/>
      <protection locked="0"/>
    </xf>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65" borderId="37" applyNumberFormat="0" applyAlignment="0" applyProtection="0"/>
    <xf numFmtId="0" fontId="144" fillId="29" borderId="37" applyNumberFormat="0" applyAlignment="0" applyProtection="0"/>
    <xf numFmtId="40" fontId="35" fillId="21" borderId="0">
      <alignment horizontal="right"/>
    </xf>
    <xf numFmtId="174" fontId="145" fillId="79" borderId="0">
      <alignment horizontal="center"/>
    </xf>
    <xf numFmtId="174" fontId="146" fillId="80" borderId="0"/>
    <xf numFmtId="174" fontId="147" fillId="21" borderId="0" applyBorder="0">
      <alignment horizontal="centerContinuous"/>
    </xf>
    <xf numFmtId="174" fontId="148" fillId="80" borderId="0" applyBorder="0">
      <alignment horizontal="centerContinuous"/>
    </xf>
    <xf numFmtId="174" fontId="20" fillId="81" borderId="0" applyNumberFormat="0" applyFont="0" applyBorder="0" applyAlignment="0"/>
    <xf numFmtId="1" fontId="149" fillId="0" borderId="0" applyProtection="0">
      <alignment horizontal="right" vertical="center"/>
    </xf>
    <xf numFmtId="194" fontId="150" fillId="0" borderId="0">
      <alignment horizontal="left"/>
    </xf>
    <xf numFmtId="296" fontId="17" fillId="0" borderId="0"/>
    <xf numFmtId="297" fontId="17" fillId="0" borderId="0"/>
    <xf numFmtId="166" fontId="11" fillId="0" borderId="0" applyFont="0" applyFill="0" applyBorder="0" applyAlignment="0" applyProtection="0"/>
    <xf numFmtId="168" fontId="11" fillId="0" borderId="0" applyFont="0" applyFill="0" applyBorder="0" applyAlignment="0" applyProtection="0"/>
    <xf numFmtId="172"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8"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299" fontId="43" fillId="67" borderId="0" applyBorder="0" applyAlignment="0">
      <protection locked="0"/>
    </xf>
    <xf numFmtId="9" fontId="33" fillId="0" borderId="0"/>
    <xf numFmtId="172" fontId="33" fillId="0" borderId="0"/>
    <xf numFmtId="10" fontId="33" fillId="0" borderId="0"/>
    <xf numFmtId="300" fontId="11" fillId="0" borderId="0" applyFont="0" applyFill="0" applyBorder="0" applyAlignment="0" applyProtection="0"/>
    <xf numFmtId="301" fontId="31" fillId="0" borderId="0"/>
    <xf numFmtId="302" fontId="31" fillId="0" borderId="0"/>
    <xf numFmtId="302" fontId="33" fillId="0" borderId="0"/>
    <xf numFmtId="303" fontId="11" fillId="0" borderId="0" applyBorder="0">
      <alignment horizontal="right"/>
    </xf>
    <xf numFmtId="304" fontId="29" fillId="0" borderId="0" applyBorder="0"/>
    <xf numFmtId="10" fontId="11" fillId="63" borderId="0"/>
    <xf numFmtId="174" fontId="11" fillId="0" borderId="0">
      <protection locked="0"/>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12">
      <alignment vertical="center"/>
    </xf>
    <xf numFmtId="0" fontId="7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9" borderId="12">
      <alignment vertical="center"/>
    </xf>
    <xf numFmtId="0" fontId="7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71" fillId="82" borderId="12">
      <alignment vertical="center"/>
    </xf>
    <xf numFmtId="0" fontId="1" fillId="9" borderId="12">
      <alignment vertical="center"/>
    </xf>
    <xf numFmtId="0" fontId="1" fillId="9" borderId="12">
      <alignment vertical="center"/>
    </xf>
    <xf numFmtId="0" fontId="1" fillId="9" borderId="12">
      <alignment vertical="center"/>
    </xf>
    <xf numFmtId="0" fontId="71" fillId="82" borderId="12">
      <alignment vertical="center"/>
    </xf>
    <xf numFmtId="0" fontId="71" fillId="82" borderId="12">
      <alignment vertical="center"/>
    </xf>
    <xf numFmtId="0"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0" fontId="11" fillId="0" borderId="0" applyNumberFormat="0" applyFont="0" applyFill="0" applyBorder="0" applyAlignment="0" applyProtection="0"/>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9"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0" fontId="11" fillId="0" borderId="0" applyNumberFormat="0" applyFont="0" applyFill="0" applyBorder="0" applyAlignment="0" applyProtection="0"/>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7" fontId="1" fillId="9"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12">
      <alignment vertical="center"/>
    </xf>
    <xf numFmtId="30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9" borderId="12">
      <alignment vertical="center"/>
    </xf>
    <xf numFmtId="307" fontId="7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71" fillId="82"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9"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7" fontId="1" fillId="9"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307" fontId="71" fillId="82" borderId="12">
      <alignment vertical="center"/>
    </xf>
    <xf numFmtId="177" fontId="1" fillId="9" borderId="12">
      <alignment vertical="center"/>
    </xf>
    <xf numFmtId="307" fontId="71" fillId="82" borderId="12">
      <alignment vertical="center"/>
    </xf>
    <xf numFmtId="307"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0" fontId="11" fillId="0" borderId="0" applyNumberFormat="0" applyFont="0" applyFill="0" applyBorder="0" applyAlignment="0" applyProtection="0"/>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9" borderId="12">
      <alignment vertical="center"/>
    </xf>
    <xf numFmtId="177"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9" borderId="12">
      <alignment vertical="center"/>
    </xf>
    <xf numFmtId="177" fontId="7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306" fontId="71" fillId="82" borderId="12">
      <alignment vertical="center"/>
    </xf>
    <xf numFmtId="177" fontId="1" fillId="9"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177"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12">
      <alignment vertical="center"/>
    </xf>
    <xf numFmtId="305"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9" borderId="12">
      <alignment vertical="center"/>
    </xf>
    <xf numFmtId="305" fontId="7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82"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12">
      <alignment vertical="center"/>
    </xf>
    <xf numFmtId="306" fontId="71" fillId="9" borderId="12">
      <alignment vertical="center"/>
    </xf>
    <xf numFmtId="305"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9" borderId="12">
      <alignment vertical="center"/>
    </xf>
    <xf numFmtId="306" fontId="7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6" fontId="1" fillId="9"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5" fontId="71" fillId="82" borderId="12">
      <alignment vertical="center"/>
    </xf>
    <xf numFmtId="306" fontId="71" fillId="82" borderId="12">
      <alignment vertical="center"/>
    </xf>
    <xf numFmtId="308" fontId="17" fillId="0" borderId="0">
      <alignment horizontal="right"/>
    </xf>
    <xf numFmtId="40" fontId="11" fillId="0" borderId="0"/>
    <xf numFmtId="1" fontId="151" fillId="14" borderId="0">
      <alignment horizontal="center"/>
    </xf>
    <xf numFmtId="174"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4" fontId="152" fillId="0" borderId="21">
      <alignment horizontal="center"/>
    </xf>
    <xf numFmtId="3" fontId="24" fillId="0" borderId="0" applyFont="0" applyFill="0" applyBorder="0" applyAlignment="0" applyProtection="0"/>
    <xf numFmtId="174" fontId="24" fillId="83" borderId="0" applyNumberFormat="0" applyFont="0" applyBorder="0" applyAlignment="0" applyProtection="0"/>
    <xf numFmtId="309" fontId="11" fillId="64" borderId="38" applyFont="0" applyFill="0" applyBorder="0" applyAlignment="0" applyProtection="0"/>
    <xf numFmtId="310" fontId="17" fillId="14" borderId="0"/>
    <xf numFmtId="311" fontId="153" fillId="14" borderId="0" applyFill="0"/>
    <xf numFmtId="174" fontId="154" fillId="0" borderId="0">
      <alignment horizontal="left" indent="7"/>
    </xf>
    <xf numFmtId="174" fontId="153" fillId="0" borderId="0" applyFill="0">
      <alignment horizontal="left" indent="7"/>
    </xf>
    <xf numFmtId="311" fontId="43" fillId="0" borderId="10">
      <alignment horizontal="right"/>
    </xf>
    <xf numFmtId="174" fontId="43" fillId="0" borderId="12" applyNumberFormat="0" applyFont="0" applyBorder="0">
      <alignment horizontal="right"/>
    </xf>
    <xf numFmtId="174" fontId="155" fillId="0" borderId="0" applyFill="0"/>
    <xf numFmtId="174" fontId="43" fillId="0" borderId="0" applyFill="0"/>
    <xf numFmtId="311" fontId="156" fillId="0" borderId="10" applyFill="0"/>
    <xf numFmtId="174" fontId="11" fillId="0" borderId="0" applyNumberFormat="0" applyFont="0" applyBorder="0" applyAlignment="0"/>
    <xf numFmtId="174" fontId="157" fillId="0" borderId="0" applyFill="0">
      <alignment horizontal="left" indent="1"/>
    </xf>
    <xf numFmtId="174" fontId="156" fillId="0" borderId="0">
      <alignment horizontal="left" indent="1"/>
    </xf>
    <xf numFmtId="311" fontId="43" fillId="0" borderId="10" applyFill="0"/>
    <xf numFmtId="174" fontId="11" fillId="0" borderId="0" applyNumberFormat="0" applyFont="0" applyFill="0" applyBorder="0" applyAlignment="0"/>
    <xf numFmtId="174" fontId="155" fillId="0" borderId="0" applyFill="0">
      <alignment horizontal="left" indent="2"/>
    </xf>
    <xf numFmtId="174" fontId="43" fillId="0" borderId="0" applyFill="0">
      <alignment horizontal="left" indent="2"/>
    </xf>
    <xf numFmtId="311" fontId="156" fillId="0" borderId="10" applyFill="0"/>
    <xf numFmtId="174" fontId="11" fillId="0" borderId="0" applyNumberFormat="0" applyFont="0" applyBorder="0" applyAlignment="0"/>
    <xf numFmtId="174" fontId="157" fillId="0" borderId="0">
      <alignment horizontal="left" indent="3"/>
    </xf>
    <xf numFmtId="174" fontId="156" fillId="0" borderId="0" applyFill="0">
      <alignment horizontal="left" indent="3"/>
    </xf>
    <xf numFmtId="311" fontId="43" fillId="0" borderId="10" applyFill="0"/>
    <xf numFmtId="174" fontId="11" fillId="0" borderId="0" applyNumberFormat="0" applyFont="0" applyBorder="0" applyAlignment="0"/>
    <xf numFmtId="174" fontId="155" fillId="0" borderId="0">
      <alignment horizontal="left" indent="4"/>
    </xf>
    <xf numFmtId="174" fontId="43" fillId="0" borderId="0" applyFill="0">
      <alignment horizontal="left" indent="4"/>
    </xf>
    <xf numFmtId="311" fontId="156" fillId="0" borderId="10" applyFill="0"/>
    <xf numFmtId="174" fontId="11" fillId="0" borderId="0" applyNumberFormat="0" applyFont="0" applyBorder="0" applyAlignment="0"/>
    <xf numFmtId="174" fontId="157" fillId="0" borderId="0">
      <alignment horizontal="left" indent="5"/>
    </xf>
    <xf numFmtId="174" fontId="156" fillId="0" borderId="0" applyFill="0">
      <alignment horizontal="left" indent="5"/>
    </xf>
    <xf numFmtId="311" fontId="43" fillId="0" borderId="10" applyFill="0"/>
    <xf numFmtId="174" fontId="11" fillId="0" borderId="0" applyNumberFormat="0" applyFont="0" applyFill="0" applyBorder="0" applyAlignment="0"/>
    <xf numFmtId="174" fontId="43" fillId="0" borderId="0" applyFill="0">
      <alignment horizontal="left" indent="6"/>
    </xf>
    <xf numFmtId="312" fontId="17" fillId="14" borderId="4">
      <alignment horizontal="right"/>
    </xf>
    <xf numFmtId="0" fontId="158" fillId="0" borderId="0"/>
    <xf numFmtId="14" fontId="159" fillId="0" borderId="0" applyNumberFormat="0" applyFill="0" applyBorder="0" applyAlignment="0" applyProtection="0">
      <alignment horizontal="left"/>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05" fontId="71" fillId="75"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14" fontId="1" fillId="8" borderId="12">
      <alignment vertical="center"/>
      <protection locked="0"/>
    </xf>
    <xf numFmtId="314"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8" borderId="12">
      <alignment vertical="center"/>
      <protection locked="0"/>
    </xf>
    <xf numFmtId="0" fontId="7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1" fillId="8"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0"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0" fontId="11" fillId="0" borderId="0" applyNumberFormat="0" applyFont="0" applyFill="0" applyBorder="0" applyAlignment="0" applyProtection="0"/>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8" borderId="12">
      <alignment vertical="center"/>
      <protection locked="0"/>
    </xf>
    <xf numFmtId="172" fontId="7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1" fillId="8"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172"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0" fontId="11" fillId="0" borderId="0" applyNumberFormat="0" applyFont="0" applyFill="0" applyBorder="0" applyAlignment="0" applyProtection="0"/>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1" fillId="8"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305"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0" fontId="11" fillId="0" borderId="0" applyNumberFormat="0" applyFont="0" applyFill="0" applyBorder="0" applyAlignment="0" applyProtection="0"/>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8" borderId="12">
      <alignment vertical="center"/>
      <protection locked="0"/>
    </xf>
    <xf numFmtId="177" fontId="7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1" fillId="8"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177" fontId="71" fillId="75" borderId="12">
      <alignment vertical="center"/>
      <protection locked="0"/>
    </xf>
    <xf numFmtId="305"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8" borderId="12">
      <alignment vertical="center"/>
      <protection locked="0"/>
    </xf>
    <xf numFmtId="314" fontId="7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8" borderId="12">
      <alignment vertical="center"/>
      <protection locked="0"/>
    </xf>
    <xf numFmtId="305" fontId="71" fillId="8" borderId="12">
      <alignment vertical="center"/>
      <protection locked="0"/>
    </xf>
    <xf numFmtId="305" fontId="7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05" fontId="1" fillId="8"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14" fontId="71" fillId="75" borderId="12">
      <alignment vertical="center"/>
      <protection locked="0"/>
    </xf>
    <xf numFmtId="305" fontId="71" fillId="75" borderId="12">
      <alignment vertical="center"/>
      <protection locked="0"/>
    </xf>
    <xf numFmtId="305" fontId="71" fillId="75" borderId="12">
      <alignment vertical="center"/>
      <protection locked="0"/>
    </xf>
    <xf numFmtId="31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1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0" fontId="11" fillId="0" borderId="0" applyNumberFormat="0" applyFont="0" applyFill="0" applyBorder="0" applyAlignment="0" applyProtection="0"/>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12">
      <alignment vertical="center"/>
    </xf>
    <xf numFmtId="307" fontId="71" fillId="84"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84" borderId="12">
      <alignment vertical="center"/>
    </xf>
    <xf numFmtId="307" fontId="7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71" fillId="5"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1" fillId="84"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07" fontId="71" fillId="5" borderId="12">
      <alignment vertical="center"/>
    </xf>
    <xf numFmtId="314"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0" fontId="11" fillId="0" borderId="0" applyNumberFormat="0" applyFont="0" applyFill="0" applyBorder="0" applyAlignment="0" applyProtection="0"/>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84"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5" borderId="12">
      <alignment vertical="center"/>
    </xf>
    <xf numFmtId="177"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0" fontId="11" fillId="0" borderId="0" applyNumberFormat="0" applyFont="0" applyFill="0" applyBorder="0" applyAlignment="0" applyProtection="0"/>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84"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12">
      <alignment vertical="center"/>
    </xf>
    <xf numFmtId="306" fontId="7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84" borderId="12">
      <alignment vertical="center"/>
    </xf>
    <xf numFmtId="306" fontId="7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1" fillId="84"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306"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12">
      <alignment vertical="center"/>
    </xf>
    <xf numFmtId="314"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84" borderId="12">
      <alignment vertical="center"/>
    </xf>
    <xf numFmtId="314" fontId="7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5"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14"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14"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6"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15" fontId="1" fillId="84" borderId="12">
      <alignment vertical="center"/>
    </xf>
    <xf numFmtId="315" fontId="1" fillId="84" borderId="12">
      <alignment vertical="center"/>
    </xf>
    <xf numFmtId="305"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12">
      <alignment vertical="center"/>
    </xf>
    <xf numFmtId="0" fontId="7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84" borderId="12">
      <alignment vertical="center"/>
    </xf>
    <xf numFmtId="0" fontId="7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1" fillId="84"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0"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0" fontId="11" fillId="0" borderId="0" applyNumberFormat="0" applyFont="0" applyFill="0" applyBorder="0" applyAlignment="0" applyProtection="0"/>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4" borderId="12">
      <alignment vertical="center"/>
    </xf>
    <xf numFmtId="177"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84" borderId="12">
      <alignment vertical="center"/>
    </xf>
    <xf numFmtId="177" fontId="7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177" fontId="1" fillId="84"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177"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12">
      <alignment vertical="center"/>
    </xf>
    <xf numFmtId="305" fontId="7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84" borderId="12">
      <alignment vertical="center"/>
    </xf>
    <xf numFmtId="305" fontId="7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1" fillId="84"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5" borderId="12">
      <alignment vertical="center"/>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0" fontId="11" fillId="0" borderId="0" applyNumberFormat="0" applyFont="0" applyFill="0" applyBorder="0" applyAlignment="0" applyProtection="0"/>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12">
      <alignment horizontal="right" vertical="center"/>
      <protection locked="0"/>
    </xf>
    <xf numFmtId="30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85" borderId="12">
      <alignment horizontal="right" vertical="center"/>
      <protection locked="0"/>
    </xf>
    <xf numFmtId="307" fontId="7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7" fontId="1" fillId="85"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307" fontId="71" fillId="7" borderId="12">
      <alignment horizontal="right" vertical="center"/>
      <protection locked="0"/>
    </xf>
    <xf numFmtId="0"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0" fontId="11" fillId="0" borderId="0" applyNumberFormat="0" applyFont="0" applyFill="0" applyBorder="0" applyAlignment="0" applyProtection="0"/>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85" borderId="12">
      <alignment horizontal="right" vertical="center"/>
      <protection locked="0"/>
    </xf>
    <xf numFmtId="0" fontId="7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85" borderId="12">
      <alignment horizontal="right" vertical="center"/>
      <protection locked="0"/>
    </xf>
    <xf numFmtId="306" fontId="7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1" fillId="85"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306" fontId="71" fillId="7" borderId="12">
      <alignment horizontal="right" vertical="center"/>
      <protection locked="0"/>
    </xf>
    <xf numFmtId="0" fontId="1" fillId="85"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0" fontId="71" fillId="7" borderId="12">
      <alignment horizontal="right" vertical="center"/>
      <protection locked="0"/>
    </xf>
    <xf numFmtId="306"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0" fontId="11" fillId="0" borderId="0" applyNumberFormat="0" applyFont="0" applyFill="0" applyBorder="0" applyAlignment="0" applyProtection="0"/>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85" borderId="12">
      <alignment horizontal="right" vertical="center"/>
      <protection locked="0"/>
    </xf>
    <xf numFmtId="177" fontId="7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177" fontId="1" fillId="85"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85" borderId="12">
      <alignment horizontal="right" vertical="center"/>
      <protection locked="0"/>
    </xf>
    <xf numFmtId="305" fontId="7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1" fillId="85"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05" fontId="71" fillId="7" borderId="12">
      <alignment horizontal="right" vertical="center"/>
      <protection locked="0"/>
    </xf>
    <xf numFmtId="313" fontId="71" fillId="0" borderId="0">
      <protection locked="0"/>
    </xf>
    <xf numFmtId="316" fontId="11" fillId="0" borderId="0" applyFont="0" applyFill="0" applyBorder="0" applyAlignment="0" applyProtection="0"/>
    <xf numFmtId="317" fontId="160" fillId="0" borderId="0"/>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0"/>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protection locked="0"/>
    </xf>
    <xf numFmtId="174" fontId="161" fillId="0" borderId="39">
      <protection locked="0"/>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74" fontId="161" fillId="0" borderId="39">
      <protection locked="0"/>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alignment horizontal="centerContinuous"/>
    </xf>
    <xf numFmtId="174" fontId="161" fillId="0" borderId="39">
      <alignment horizontal="centerContinuous"/>
    </xf>
    <xf numFmtId="174" fontId="161" fillId="0" borderId="39">
      <protection locked="0"/>
    </xf>
    <xf numFmtId="174" fontId="161" fillId="0" borderId="39">
      <alignment horizontal="centerContinuous"/>
    </xf>
    <xf numFmtId="174" fontId="161" fillId="0" borderId="39">
      <alignment horizontal="centerContinuous"/>
    </xf>
    <xf numFmtId="174" fontId="161" fillId="0" borderId="39">
      <alignment horizontal="centerContinuous"/>
    </xf>
    <xf numFmtId="194" fontId="161" fillId="0" borderId="0"/>
    <xf numFmtId="174" fontId="161" fillId="0" borderId="39">
      <protection locked="0"/>
    </xf>
    <xf numFmtId="174" fontId="161" fillId="0" borderId="39">
      <protection locked="0"/>
    </xf>
    <xf numFmtId="174" fontId="162" fillId="0" borderId="4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63"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56" fillId="71" borderId="41" applyNumberFormat="0" applyProtection="0">
      <alignment vertical="center"/>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4" fontId="163" fillId="71" borderId="41" applyNumberFormat="0" applyProtection="0">
      <alignment horizontal="left" vertical="center"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0" fontId="163" fillId="71" borderId="41" applyNumberFormat="0" applyProtection="0">
      <alignment horizontal="left" vertical="top" indent="1"/>
    </xf>
    <xf numFmtId="4" fontId="163" fillId="15" borderId="0" applyNumberFormat="0" applyProtection="0">
      <alignment horizontal="left" vertical="center" indent="1"/>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8"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17"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48"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0"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34"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5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27"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86"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35" fillId="28" borderId="41" applyNumberFormat="0" applyProtection="0">
      <alignment horizontal="right" vertical="center"/>
    </xf>
    <xf numFmtId="4" fontId="163" fillId="87" borderId="42"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15" borderId="41"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43"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43"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11" fillId="26" borderId="41" applyNumberFormat="0" applyProtection="0">
      <alignment horizontal="left" vertical="center" indent="1"/>
    </xf>
    <xf numFmtId="0" fontId="29" fillId="29" borderId="44" applyNumberFormat="0" applyProtection="0">
      <alignment horizontal="left" vertical="center"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11" fillId="26" borderId="41" applyNumberFormat="0" applyProtection="0">
      <alignment horizontal="left" vertical="top" indent="1"/>
    </xf>
    <xf numFmtId="0" fontId="29" fillId="26" borderId="41" applyNumberFormat="0" applyProtection="0">
      <alignment horizontal="left" vertical="top"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11" fillId="15" borderId="41" applyNumberFormat="0" applyProtection="0">
      <alignment horizontal="left" vertical="center" indent="1"/>
    </xf>
    <xf numFmtId="0" fontId="29" fillId="89" borderId="44" applyNumberFormat="0" applyProtection="0">
      <alignment horizontal="left" vertical="center"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11" fillId="15" borderId="41" applyNumberFormat="0" applyProtection="0">
      <alignment horizontal="left" vertical="top" indent="1"/>
    </xf>
    <xf numFmtId="0" fontId="29" fillId="15" borderId="41" applyNumberFormat="0" applyProtection="0">
      <alignment horizontal="left" vertical="top"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11" fillId="23" borderId="41" applyNumberFormat="0" applyProtection="0">
      <alignment horizontal="left" vertical="center" indent="1"/>
    </xf>
    <xf numFmtId="0" fontId="29" fillId="23" borderId="44" applyNumberFormat="0" applyProtection="0">
      <alignment horizontal="left" vertical="center"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11" fillId="23" borderId="41" applyNumberFormat="0" applyProtection="0">
      <alignment horizontal="left" vertical="top" indent="1"/>
    </xf>
    <xf numFmtId="0" fontId="29" fillId="23" borderId="41" applyNumberFormat="0" applyProtection="0">
      <alignment horizontal="left" vertical="top"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11" fillId="88" borderId="41" applyNumberFormat="0" applyProtection="0">
      <alignment horizontal="left" vertical="center" indent="1"/>
    </xf>
    <xf numFmtId="0" fontId="29" fillId="88" borderId="44" applyNumberFormat="0" applyProtection="0">
      <alignment horizontal="left" vertical="center"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11" fillId="88" borderId="41" applyNumberFormat="0" applyProtection="0">
      <alignment horizontal="left" vertical="top" indent="1"/>
    </xf>
    <xf numFmtId="0" fontId="29" fillId="88" borderId="41" applyNumberFormat="0" applyProtection="0">
      <alignment horizontal="left" vertical="top" indent="1"/>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11" fillId="21" borderId="12" applyNumberFormat="0">
      <protection locked="0"/>
    </xf>
    <xf numFmtId="0" fontId="29" fillId="21" borderId="45" applyNumberFormat="0">
      <protection locked="0"/>
    </xf>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0" fontId="69" fillId="26" borderId="46" applyBorder="0"/>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35"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153" fillId="19" borderId="41" applyNumberFormat="0" applyProtection="0">
      <alignment vertical="center"/>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4" fontId="35" fillId="19" borderId="41" applyNumberFormat="0" applyProtection="0">
      <alignment horizontal="left" vertical="center"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0" fontId="35" fillId="19" borderId="41" applyNumberFormat="0" applyProtection="0">
      <alignment horizontal="left" vertical="top" indent="1"/>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35"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153" fillId="88" borderId="41" applyNumberFormat="0" applyProtection="0">
      <alignment horizontal="right" vertical="center"/>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4" fontId="35" fillId="15" borderId="41" applyNumberFormat="0" applyProtection="0">
      <alignment horizontal="left" vertical="center"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0" fontId="35" fillId="15" borderId="41" applyNumberFormat="0" applyProtection="0">
      <alignment horizontal="left" vertical="top" indent="1"/>
    </xf>
    <xf numFmtId="4" fontId="164" fillId="90" borderId="0" applyNumberFormat="0" applyProtection="0">
      <alignment horizontal="left" vertical="center" indent="1"/>
    </xf>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0" fontId="29" fillId="91" borderId="12"/>
    <xf numFmtId="174" fontId="29" fillId="91" borderId="12"/>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4" fontId="165" fillId="88" borderId="41" applyNumberFormat="0" applyProtection="0">
      <alignment horizontal="right" vertical="center"/>
    </xf>
    <xf numFmtId="38" fontId="166" fillId="0" borderId="47">
      <alignment horizontal="center"/>
    </xf>
    <xf numFmtId="174" fontId="167" fillId="92" borderId="0"/>
    <xf numFmtId="174" fontId="56" fillId="0" borderId="0"/>
    <xf numFmtId="38" fontId="24" fillId="0" borderId="0" applyFont="0" applyFill="0" applyBorder="0" applyAlignment="0" applyProtection="0"/>
    <xf numFmtId="40" fontId="168" fillId="0" borderId="0" applyFont="0" applyFill="0" applyBorder="0" applyAlignment="0" applyProtection="0"/>
    <xf numFmtId="294" fontId="31" fillId="93" borderId="0" applyFont="0"/>
    <xf numFmtId="174" fontId="169" fillId="0" borderId="0"/>
    <xf numFmtId="0" fontId="170" fillId="0" borderId="0" applyNumberFormat="0" applyFill="0" applyBorder="0" applyAlignment="0" applyProtection="0"/>
    <xf numFmtId="1" fontId="11" fillId="0" borderId="0"/>
    <xf numFmtId="174" fontId="24" fillId="0" borderId="0">
      <alignment textRotation="90"/>
    </xf>
    <xf numFmtId="192" fontId="34" fillId="0" borderId="0">
      <alignment vertical="center"/>
    </xf>
    <xf numFmtId="316" fontId="11" fillId="0" borderId="0" applyFont="0" applyFill="0" applyBorder="0" applyProtection="0">
      <alignment horizontal="right" vertical="center"/>
      <protection locked="0"/>
    </xf>
    <xf numFmtId="318" fontId="11" fillId="0" borderId="0" applyFont="0" applyFill="0" applyBorder="0">
      <alignment vertical="center"/>
    </xf>
    <xf numFmtId="0" fontId="11" fillId="94" borderId="0"/>
    <xf numFmtId="267" fontId="171" fillId="0" borderId="4"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4"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4" fontId="11" fillId="0" borderId="0">
      <alignment vertical="top"/>
    </xf>
    <xf numFmtId="174" fontId="173" fillId="63" borderId="0" applyNumberFormat="0" applyProtection="0">
      <alignment horizontal="center" vertical="center"/>
    </xf>
    <xf numFmtId="4" fontId="35" fillId="63" borderId="0" applyProtection="0">
      <alignment horizontal="center" vertical="center"/>
    </xf>
    <xf numFmtId="174" fontId="174" fillId="63" borderId="0" applyNumberFormat="0" applyProtection="0">
      <alignment horizontal="center" vertical="center"/>
    </xf>
    <xf numFmtId="4" fontId="153" fillId="63" borderId="0" applyProtection="0">
      <alignment horizontal="center" vertical="center"/>
    </xf>
    <xf numFmtId="174" fontId="175" fillId="95" borderId="0" applyNumberFormat="0" applyProtection="0">
      <alignment horizontal="center" vertical="center"/>
    </xf>
    <xf numFmtId="4" fontId="165" fillId="95" borderId="0" applyProtection="0">
      <alignment horizontal="center" vertical="center"/>
    </xf>
    <xf numFmtId="174" fontId="172" fillId="63" borderId="0" applyNumberFormat="0" applyProtection="0">
      <alignment horizontal="center" vertical="center"/>
    </xf>
    <xf numFmtId="4" fontId="176" fillId="63" borderId="0" applyProtection="0">
      <alignment horizontal="center" vertical="center"/>
    </xf>
    <xf numFmtId="174" fontId="177" fillId="96" borderId="0" applyNumberFormat="0" applyProtection="0">
      <alignment horizontal="center" vertical="center"/>
    </xf>
    <xf numFmtId="4" fontId="39" fillId="96" borderId="0" applyProtection="0">
      <alignment horizontal="center" vertical="center"/>
    </xf>
    <xf numFmtId="174" fontId="163" fillId="63" borderId="0" applyNumberFormat="0" applyProtection="0">
      <alignment horizontal="center" vertical="center" wrapText="1"/>
    </xf>
    <xf numFmtId="174" fontId="156" fillId="63" borderId="0" applyNumberFormat="0" applyProtection="0">
      <alignment horizontal="center" vertical="center" wrapText="1"/>
    </xf>
    <xf numFmtId="174" fontId="117" fillId="95" borderId="0" applyNumberFormat="0" applyProtection="0">
      <alignment horizontal="center" vertical="center" wrapText="1"/>
    </xf>
    <xf numFmtId="174" fontId="178" fillId="63" borderId="0" applyNumberFormat="0" applyProtection="0">
      <alignment horizontal="center" vertical="center" wrapText="1"/>
    </xf>
    <xf numFmtId="174" fontId="163" fillId="63" borderId="0" applyNumberFormat="0" applyProtection="0">
      <alignment horizontal="center" vertical="center" wrapText="1"/>
    </xf>
    <xf numFmtId="4" fontId="179" fillId="63" borderId="0" applyProtection="0">
      <alignment horizontal="center" vertical="top" wrapText="1"/>
    </xf>
    <xf numFmtId="174" fontId="156" fillId="63" borderId="0" applyNumberFormat="0" applyProtection="0">
      <alignment horizontal="center" vertical="center" wrapText="1"/>
    </xf>
    <xf numFmtId="4" fontId="180" fillId="63" borderId="0" applyProtection="0">
      <alignment horizontal="center" vertical="top" wrapText="1"/>
    </xf>
    <xf numFmtId="174" fontId="117" fillId="95" borderId="0" applyNumberFormat="0" applyProtection="0">
      <alignment horizontal="center" vertical="center" wrapText="1"/>
    </xf>
    <xf numFmtId="4" fontId="181" fillId="95" borderId="0" applyProtection="0">
      <alignment horizontal="center" vertical="top" wrapText="1"/>
    </xf>
    <xf numFmtId="174" fontId="178" fillId="63" borderId="0" applyNumberFormat="0" applyProtection="0">
      <alignment horizontal="center" vertical="center" wrapText="1"/>
    </xf>
    <xf numFmtId="4" fontId="182" fillId="63" borderId="0" applyProtection="0">
      <alignment horizontal="center" vertical="top" wrapText="1"/>
    </xf>
    <xf numFmtId="174" fontId="146" fillId="96" borderId="0" applyNumberFormat="0" applyProtection="0">
      <alignment horizontal="center" vertical="center" wrapText="1"/>
    </xf>
    <xf numFmtId="4" fontId="183" fillId="96" borderId="0" applyProtection="0">
      <alignment horizontal="center" vertical="top" wrapText="1"/>
    </xf>
    <xf numFmtId="174"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4" fontId="184" fillId="0" borderId="0"/>
    <xf numFmtId="174" fontId="185" fillId="59" borderId="0"/>
    <xf numFmtId="174" fontId="186" fillId="0" borderId="0">
      <alignment horizontal="left" vertical="center"/>
    </xf>
    <xf numFmtId="179" fontId="56" fillId="0" borderId="0"/>
    <xf numFmtId="174" fontId="84" fillId="0" borderId="0"/>
    <xf numFmtId="174" fontId="56" fillId="0" borderId="0">
      <alignment horizontal="center"/>
    </xf>
    <xf numFmtId="37" fontId="43" fillId="0" borderId="48" applyNumberFormat="0"/>
    <xf numFmtId="40" fontId="11" fillId="0" borderId="0" applyBorder="0">
      <alignment horizontal="right"/>
    </xf>
    <xf numFmtId="37" fontId="43" fillId="0" borderId="48" applyNumberFormat="0"/>
    <xf numFmtId="40" fontId="187" fillId="0" borderId="0" applyBorder="0">
      <alignment horizontal="right"/>
    </xf>
    <xf numFmtId="0" fontId="188" fillId="0" borderId="49" applyNumberFormat="0" applyAlignment="0" applyProtection="0"/>
    <xf numFmtId="174" fontId="189" fillId="0" borderId="0" applyBorder="0" applyProtection="0">
      <alignment vertical="center"/>
    </xf>
    <xf numFmtId="174" fontId="189" fillId="0" borderId="6" applyBorder="0" applyProtection="0">
      <alignment horizontal="right" vertical="center"/>
    </xf>
    <xf numFmtId="174" fontId="190" fillId="97" borderId="0" applyBorder="0" applyProtection="0">
      <alignment horizontal="centerContinuous" vertical="center"/>
    </xf>
    <xf numFmtId="174" fontId="190" fillId="96" borderId="6" applyBorder="0" applyProtection="0">
      <alignment horizontal="centerContinuous" vertical="center"/>
    </xf>
    <xf numFmtId="174" fontId="191" fillId="0" borderId="0"/>
    <xf numFmtId="174" fontId="137" fillId="0" borderId="0"/>
    <xf numFmtId="174" fontId="192" fillId="0" borderId="0" applyFill="0" applyBorder="0" applyProtection="0">
      <alignment horizontal="left"/>
    </xf>
    <xf numFmtId="174" fontId="93" fillId="0" borderId="3" applyFill="0" applyBorder="0" applyProtection="0">
      <alignment horizontal="left" vertical="top"/>
    </xf>
    <xf numFmtId="174" fontId="193" fillId="0" borderId="0">
      <alignment horizontal="centerContinuous"/>
    </xf>
    <xf numFmtId="49" fontId="194" fillId="0" borderId="0"/>
    <xf numFmtId="184" fontId="11" fillId="64" borderId="0" applyFont="0" applyFill="0" applyBorder="0" applyAlignment="0" applyProtection="0"/>
    <xf numFmtId="49" fontId="56" fillId="0" borderId="0" applyFont="0" applyFill="0" applyBorder="0" applyAlignment="0" applyProtection="0"/>
    <xf numFmtId="174" fontId="195" fillId="0" borderId="0"/>
    <xf numFmtId="174" fontId="196" fillId="0" borderId="0"/>
    <xf numFmtId="319" fontId="56" fillId="0" borderId="0" applyFont="0" applyFill="0" applyBorder="0" applyAlignment="0" applyProtection="0"/>
    <xf numFmtId="320" fontId="11" fillId="0" borderId="0" applyFont="0" applyFill="0" applyBorder="0" applyAlignment="0" applyProtection="0"/>
    <xf numFmtId="170"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4" fontId="198" fillId="75" borderId="0">
      <alignment horizontal="right"/>
    </xf>
    <xf numFmtId="0" fontId="11" fillId="14" borderId="0" applyNumberFormat="0" applyFont="0" applyBorder="0" applyAlignment="0"/>
    <xf numFmtId="178" fontId="142" fillId="0" borderId="0"/>
    <xf numFmtId="174" fontId="199" fillId="0" borderId="0"/>
    <xf numFmtId="321" fontId="200" fillId="0" borderId="0"/>
    <xf numFmtId="194" fontId="11" fillId="0" borderId="48" applyNumberFormat="0" applyFont="0" applyFill="0" applyAlignment="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212" fontId="43" fillId="0" borderId="10" applyFill="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1" applyNumberFormat="0" applyFill="0" applyAlignment="0" applyProtection="0"/>
    <xf numFmtId="37" fontId="43" fillId="0" borderId="52" applyNumberFormat="0" applyFill="0"/>
    <xf numFmtId="291" fontId="68" fillId="0" borderId="14" applyAlignment="0"/>
    <xf numFmtId="292" fontId="68" fillId="0" borderId="14" applyAlignment="0"/>
    <xf numFmtId="178" fontId="27" fillId="0" borderId="14"/>
    <xf numFmtId="167" fontId="11" fillId="0" borderId="0" applyFont="0" applyFill="0" applyBorder="0" applyAlignment="0" applyProtection="0"/>
    <xf numFmtId="169" fontId="11" fillId="0" borderId="0" applyFont="0" applyFill="0" applyBorder="0" applyAlignment="0" applyProtection="0"/>
    <xf numFmtId="322" fontId="11" fillId="0" borderId="0" applyFont="0" applyFill="0" applyBorder="0" applyAlignment="0" applyProtection="0"/>
    <xf numFmtId="323" fontId="30" fillId="0" borderId="0" applyFont="0" applyFill="0" applyBorder="0" applyAlignment="0" applyProtection="0">
      <alignment horizontal="right"/>
    </xf>
    <xf numFmtId="174"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31" applyProtection="0"/>
    <xf numFmtId="4" fontId="27" fillId="0" borderId="0">
      <protection locked="0"/>
    </xf>
    <xf numFmtId="324" fontId="151" fillId="14" borderId="3" applyBorder="0">
      <alignment horizontal="right" vertical="center"/>
      <protection locked="0"/>
    </xf>
    <xf numFmtId="174" fontId="11" fillId="0" borderId="0">
      <alignment vertical="top"/>
    </xf>
    <xf numFmtId="174" fontId="202" fillId="0" borderId="0" applyFont="0" applyFill="0" applyBorder="0" applyAlignment="0" applyProtection="0"/>
    <xf numFmtId="238" fontId="97" fillId="0" borderId="0" applyFont="0" applyFill="0" applyBorder="0" applyAlignment="0" applyProtection="0"/>
    <xf numFmtId="325" fontId="97" fillId="0" borderId="0" applyFont="0" applyFill="0" applyBorder="0" applyAlignment="0" applyProtection="0"/>
    <xf numFmtId="326" fontId="97" fillId="0" borderId="0" applyFont="0" applyFill="0" applyBorder="0" applyAlignment="0" applyProtection="0"/>
    <xf numFmtId="327" fontId="11" fillId="0" borderId="0" applyFont="0" applyFill="0" applyBorder="0" applyAlignment="0" applyProtection="0"/>
    <xf numFmtId="328" fontId="11" fillId="0" borderId="0" applyFont="0" applyFill="0" applyBorder="0" applyAlignment="0" applyProtection="0"/>
    <xf numFmtId="206" fontId="29" fillId="0" borderId="0"/>
    <xf numFmtId="174" fontId="203" fillId="0" borderId="0"/>
    <xf numFmtId="329" fontId="11" fillId="0" borderId="0" applyFont="0" applyFill="0" applyBorder="0" applyAlignment="0" applyProtection="0"/>
    <xf numFmtId="330" fontId="11"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74"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4" fontId="11" fillId="0" borderId="0" applyNumberFormat="0" applyFont="0" applyFill="0" applyBorder="0" applyProtection="0">
      <alignment horizontal="center" vertical="center" wrapText="1"/>
    </xf>
    <xf numFmtId="276" fontId="15" fillId="0" borderId="0"/>
    <xf numFmtId="206"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4" fontId="207" fillId="14" borderId="0" applyNumberFormat="0" applyFont="0" applyBorder="0" applyAlignment="0" applyProtection="0">
      <alignment horizontal="left"/>
    </xf>
    <xf numFmtId="174" fontId="208" fillId="0" borderId="0"/>
    <xf numFmtId="206" fontId="29" fillId="0" borderId="0"/>
    <xf numFmtId="331" fontId="209" fillId="0" borderId="0" applyFont="0" applyFill="0" applyBorder="0" applyAlignment="0" applyProtection="0"/>
    <xf numFmtId="332"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4" fontId="10" fillId="0" borderId="0"/>
    <xf numFmtId="174" fontId="71" fillId="0" borderId="0"/>
    <xf numFmtId="169" fontId="1" fillId="0" borderId="0" applyFont="0" applyFill="0" applyBorder="0" applyAlignment="0" applyProtection="0"/>
    <xf numFmtId="0" fontId="1" fillId="0" borderId="0"/>
    <xf numFmtId="174" fontId="71" fillId="0" borderId="0"/>
    <xf numFmtId="174" fontId="1" fillId="0" borderId="0"/>
    <xf numFmtId="0" fontId="13" fillId="0" borderId="0"/>
    <xf numFmtId="174" fontId="11" fillId="0" borderId="0"/>
    <xf numFmtId="174" fontId="1" fillId="0" borderId="0"/>
    <xf numFmtId="174" fontId="71" fillId="0" borderId="0"/>
    <xf numFmtId="174" fontId="116" fillId="0" borderId="0" applyNumberFormat="0" applyFill="0" applyBorder="0" applyAlignment="0" applyProtection="0">
      <alignment vertical="top"/>
      <protection locked="0"/>
    </xf>
    <xf numFmtId="9" fontId="1" fillId="0" borderId="0" applyFont="0" applyFill="0" applyBorder="0" applyAlignment="0" applyProtection="0"/>
    <xf numFmtId="171" fontId="1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293" fontId="11" fillId="0" borderId="0"/>
    <xf numFmtId="0" fontId="10" fillId="0" borderId="0"/>
    <xf numFmtId="0" fontId="10"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1" fillId="0" borderId="0" applyFont="0" applyFill="0" applyBorder="0" applyAlignment="0" applyProtection="0"/>
    <xf numFmtId="293" fontId="10" fillId="0" borderId="0"/>
    <xf numFmtId="293" fontId="11" fillId="0" borderId="0">
      <alignment vertical="center"/>
    </xf>
    <xf numFmtId="293" fontId="11" fillId="0" borderId="0"/>
    <xf numFmtId="293" fontId="11" fillId="0" borderId="0"/>
    <xf numFmtId="293" fontId="11" fillId="0" borderId="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293" fontId="11" fillId="0" borderId="0" applyNumberFormat="0" applyFont="0" applyBorder="0" applyAlignment="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333" fontId="1" fillId="0" borderId="0" applyFont="0" applyFill="0" applyBorder="0" applyProtection="0">
      <alignment vertical="top"/>
    </xf>
    <xf numFmtId="334" fontId="1" fillId="0" borderId="0" applyFont="0" applyFill="0" applyBorder="0" applyProtection="0">
      <alignment vertical="top"/>
    </xf>
    <xf numFmtId="335" fontId="1" fillId="0" borderId="0" applyFont="0" applyFill="0" applyBorder="0" applyProtection="0">
      <alignment vertical="top"/>
    </xf>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293" fontId="11" fillId="29" borderId="0" applyNumberFormat="0" applyFont="0" applyBorder="0" applyAlignment="0" applyProtection="0"/>
    <xf numFmtId="175" fontId="211" fillId="3" borderId="0"/>
    <xf numFmtId="175" fontId="212" fillId="4" borderId="0"/>
    <xf numFmtId="175" fontId="212" fillId="98" borderId="0">
      <alignment vertical="center"/>
    </xf>
    <xf numFmtId="0" fontId="13" fillId="0" borderId="0"/>
    <xf numFmtId="293" fontId="1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11"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xf numFmtId="293" fontId="36" fillId="0" borderId="0"/>
    <xf numFmtId="293" fontId="36" fillId="0" borderId="0"/>
    <xf numFmtId="293" fontId="36" fillId="0" borderId="0"/>
    <xf numFmtId="293" fontId="36" fillId="0" borderId="0"/>
    <xf numFmtId="0" fontId="1" fillId="0" borderId="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293" fontId="36" fillId="0" borderId="0" applyFill="0" applyBorder="0" applyAlignment="0" applyProtection="0"/>
    <xf numFmtId="0" fontId="71" fillId="0" borderId="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9" fontId="35" fillId="0" borderId="0" applyFont="0" applyFill="0" applyBorder="0" applyAlignment="0" applyProtection="0"/>
    <xf numFmtId="177" fontId="71" fillId="82" borderId="12">
      <alignment vertical="center"/>
    </xf>
    <xf numFmtId="307" fontId="71" fillId="82" borderId="12">
      <alignment vertical="center"/>
    </xf>
    <xf numFmtId="177" fontId="71" fillId="82" borderId="12">
      <alignment vertical="center"/>
    </xf>
    <xf numFmtId="177" fontId="71" fillId="75" borderId="12">
      <alignment vertical="center"/>
      <protection locked="0"/>
    </xf>
    <xf numFmtId="305" fontId="71" fillId="75" borderId="12">
      <alignment vertical="center"/>
      <protection locked="0"/>
    </xf>
    <xf numFmtId="314" fontId="71" fillId="5" borderId="12">
      <alignment vertical="center"/>
    </xf>
    <xf numFmtId="177" fontId="71" fillId="5" borderId="12">
      <alignment vertical="center"/>
    </xf>
    <xf numFmtId="177" fontId="71" fillId="5" borderId="12">
      <alignment vertical="center"/>
    </xf>
    <xf numFmtId="307" fontId="71" fillId="7" borderId="12">
      <alignment horizontal="right" vertical="center"/>
      <protection locked="0"/>
    </xf>
    <xf numFmtId="177" fontId="71" fillId="7" borderId="12">
      <alignment horizontal="right" vertical="center"/>
      <protection locked="0"/>
    </xf>
    <xf numFmtId="177" fontId="71" fillId="7" borderId="12">
      <alignment horizontal="right" vertical="center"/>
      <protection locked="0"/>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29" fillId="21" borderId="45" applyNumberFormat="0">
      <protection locked="0"/>
    </xf>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11" fillId="19" borderId="0" applyNumberFormat="0" applyFont="0" applyBorder="0" applyAlignment="0" applyProtection="0"/>
    <xf numFmtId="293" fontId="213" fillId="99" borderId="44" applyNumberFormat="0" applyAlignment="0" applyProtection="0"/>
    <xf numFmtId="293" fontId="118" fillId="55" borderId="44" applyNumberForma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29" fillId="54" borderId="44" applyNumberFormat="0" applyFont="0" applyAlignment="0" applyProtection="0"/>
    <xf numFmtId="293" fontId="144" fillId="99" borderId="37" applyNumberFormat="0" applyAlignment="0" applyProtection="0"/>
    <xf numFmtId="4" fontId="29" fillId="33" borderId="44" applyNumberFormat="0" applyProtection="0">
      <alignment horizontal="left" vertical="center" indent="1"/>
    </xf>
    <xf numFmtId="4" fontId="29" fillId="87" borderId="43" applyNumberFormat="0" applyProtection="0">
      <alignment horizontal="left" vertical="center" indent="1"/>
    </xf>
    <xf numFmtId="4" fontId="11" fillId="26" borderId="43" applyNumberFormat="0" applyProtection="0">
      <alignment horizontal="left" vertical="center" indent="1"/>
    </xf>
    <xf numFmtId="4" fontId="11" fillId="26" borderId="43" applyNumberFormat="0" applyProtection="0">
      <alignment horizontal="left" vertical="center" indent="1"/>
    </xf>
    <xf numFmtId="4" fontId="29" fillId="88" borderId="43" applyNumberFormat="0" applyProtection="0">
      <alignment horizontal="left" vertical="center" indent="1"/>
    </xf>
    <xf numFmtId="4" fontId="29" fillId="15" borderId="43" applyNumberFormat="0" applyProtection="0">
      <alignment horizontal="left" vertical="center"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26"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15"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23"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293" fontId="29" fillId="88" borderId="41" applyNumberFormat="0" applyProtection="0">
      <alignment horizontal="left" vertical="top" indent="1"/>
    </xf>
    <xf numFmtId="4" fontId="214" fillId="90" borderId="43" applyNumberFormat="0" applyProtection="0">
      <alignment horizontal="left" vertical="center" indent="1"/>
    </xf>
    <xf numFmtId="37" fontId="43" fillId="0" borderId="48" applyNumberFormat="0"/>
    <xf numFmtId="37" fontId="43" fillId="0" borderId="48" applyNumberFormat="0"/>
    <xf numFmtId="293" fontId="79" fillId="0" borderId="50" applyNumberFormat="0" applyFill="0" applyAlignment="0" applyProtection="0"/>
    <xf numFmtId="0" fontId="13" fillId="0" borderId="0"/>
    <xf numFmtId="0" fontId="1" fillId="0" borderId="0"/>
    <xf numFmtId="174" fontId="10" fillId="0" borderId="0"/>
    <xf numFmtId="174" fontId="1" fillId="0" borderId="0"/>
    <xf numFmtId="0" fontId="109" fillId="0" borderId="0" applyNumberFormat="0" applyFill="0" applyBorder="0" applyAlignment="0" applyProtection="0"/>
  </cellStyleXfs>
  <cellXfs count="528">
    <xf numFmtId="0" fontId="0" fillId="0" borderId="0" xfId="0"/>
    <xf numFmtId="0" fontId="5" fillId="2" borderId="0" xfId="3" applyFont="1" applyFill="1" applyAlignment="1">
      <alignment horizontal="left" indent="1"/>
    </xf>
    <xf numFmtId="0" fontId="5" fillId="2" borderId="0" xfId="3" applyFont="1" applyFill="1" applyAlignment="1">
      <alignment horizontal="left"/>
    </xf>
    <xf numFmtId="0" fontId="7" fillId="2" borderId="0" xfId="4" applyFont="1" applyFill="1"/>
    <xf numFmtId="0" fontId="5" fillId="2" borderId="6" xfId="3" applyFont="1" applyFill="1" applyBorder="1" applyAlignment="1">
      <alignment horizontal="left" indent="1"/>
    </xf>
    <xf numFmtId="0" fontId="5" fillId="2" borderId="6" xfId="3" applyFont="1" applyFill="1" applyBorder="1" applyAlignment="1">
      <alignment horizontal="left"/>
    </xf>
    <xf numFmtId="0" fontId="7" fillId="2" borderId="6" xfId="4" applyFont="1" applyFill="1" applyBorder="1"/>
    <xf numFmtId="0" fontId="7" fillId="2" borderId="7" xfId="4" applyFont="1" applyFill="1" applyBorder="1"/>
    <xf numFmtId="0" fontId="0" fillId="0" borderId="0" xfId="0" applyAlignment="1">
      <alignment horizontal="left" indent="1"/>
    </xf>
    <xf numFmtId="0" fontId="0" fillId="0" borderId="0" xfId="0" applyAlignment="1">
      <alignment horizontal="left" vertical="top"/>
    </xf>
    <xf numFmtId="1" fontId="0" fillId="0" borderId="0" xfId="0" applyNumberFormat="1" applyAlignment="1">
      <alignment horizontal="right"/>
    </xf>
    <xf numFmtId="0" fontId="0" fillId="0" borderId="0" xfId="0" applyAlignment="1">
      <alignment vertical="center"/>
    </xf>
    <xf numFmtId="0" fontId="3" fillId="4" borderId="0" xfId="0" applyFont="1" applyFill="1" applyAlignment="1">
      <alignment horizontal="left" vertical="center" indent="1"/>
    </xf>
    <xf numFmtId="0" fontId="0" fillId="4" borderId="0" xfId="0" applyFill="1"/>
    <xf numFmtId="0" fontId="0" fillId="4" borderId="0" xfId="0" applyFill="1" applyAlignment="1">
      <alignment vertical="center"/>
    </xf>
    <xf numFmtId="0" fontId="3" fillId="0" borderId="0" xfId="0" applyFont="1" applyAlignment="1">
      <alignment horizontal="left" vertical="center" indent="1"/>
    </xf>
    <xf numFmtId="0" fontId="8" fillId="5" borderId="0" xfId="2" applyNumberFormat="1" applyFont="1" applyFill="1" applyBorder="1" applyAlignment="1" applyProtection="1">
      <alignment horizontal="left" indent="1"/>
    </xf>
    <xf numFmtId="172" fontId="0" fillId="0" borderId="0" xfId="0" applyNumberFormat="1"/>
    <xf numFmtId="172" fontId="8" fillId="5" borderId="8" xfId="2" applyNumberFormat="1" applyFont="1" applyFill="1" applyBorder="1" applyProtection="1"/>
    <xf numFmtId="172" fontId="8" fillId="5" borderId="9" xfId="2" applyNumberFormat="1" applyFont="1" applyFill="1" applyBorder="1" applyProtection="1"/>
    <xf numFmtId="0" fontId="9" fillId="5" borderId="0" xfId="2" applyNumberFormat="1" applyFont="1" applyFill="1" applyBorder="1" applyAlignment="1" applyProtection="1">
      <alignment horizontal="left" indent="1"/>
    </xf>
    <xf numFmtId="172" fontId="3" fillId="0" borderId="0" xfId="0" applyNumberFormat="1" applyFont="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72" fontId="9" fillId="0" borderId="0" xfId="2" applyNumberFormat="1" applyFont="1" applyFill="1" applyBorder="1" applyProtection="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72" fontId="9" fillId="4" borderId="0" xfId="2" applyNumberFormat="1" applyFont="1" applyFill="1" applyBorder="1" applyProtection="1"/>
    <xf numFmtId="172"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0" fontId="0" fillId="0" borderId="0" xfId="0" applyAlignment="1">
      <alignment horizontal="center" vertical="center" wrapText="1"/>
    </xf>
    <xf numFmtId="169" fontId="0" fillId="0" borderId="0" xfId="1" applyFont="1"/>
    <xf numFmtId="0" fontId="0" fillId="0" borderId="0" xfId="0" applyAlignment="1">
      <alignment horizontal="left" wrapText="1" indent="1"/>
    </xf>
    <xf numFmtId="0" fontId="0" fillId="0" borderId="0" xfId="0" applyAlignment="1">
      <alignment horizontal="center" vertical="center"/>
    </xf>
    <xf numFmtId="0" fontId="8" fillId="75" borderId="53" xfId="4" applyFont="1" applyFill="1" applyBorder="1" applyAlignment="1">
      <alignment vertical="center"/>
    </xf>
    <xf numFmtId="0" fontId="8" fillId="0" borderId="53" xfId="5" applyFont="1" applyBorder="1" applyAlignment="1">
      <alignment horizontal="left" vertical="center" wrapText="1"/>
    </xf>
    <xf numFmtId="0" fontId="8" fillId="75" borderId="53" xfId="4" applyFont="1" applyFill="1" applyBorder="1" applyAlignment="1">
      <alignment horizontal="right" vertical="center"/>
    </xf>
    <xf numFmtId="0" fontId="0" fillId="0" borderId="0" xfId="0" applyAlignment="1">
      <alignment horizontal="center"/>
    </xf>
    <xf numFmtId="172" fontId="217" fillId="0" borderId="0" xfId="0" applyNumberFormat="1" applyFont="1"/>
    <xf numFmtId="0" fontId="0" fillId="0" borderId="53" xfId="0" applyBorder="1" applyAlignment="1">
      <alignment horizontal="left" vertical="top"/>
    </xf>
    <xf numFmtId="0" fontId="8" fillId="0" borderId="53" xfId="5" applyFont="1" applyBorder="1" applyAlignment="1">
      <alignment horizontal="left" vertical="top"/>
    </xf>
    <xf numFmtId="0" fontId="0" fillId="0" borderId="6" xfId="0" applyBorder="1" applyAlignment="1">
      <alignment horizontal="center"/>
    </xf>
    <xf numFmtId="0" fontId="5" fillId="2" borderId="57" xfId="3" applyFont="1" applyFill="1" applyBorder="1" applyAlignment="1">
      <alignment horizontal="left"/>
    </xf>
    <xf numFmtId="0" fontId="5" fillId="2" borderId="48" xfId="3" applyFont="1" applyFill="1" applyBorder="1" applyAlignment="1">
      <alignment horizontal="left"/>
    </xf>
    <xf numFmtId="0" fontId="6" fillId="2" borderId="48" xfId="4" applyFont="1" applyFill="1" applyBorder="1"/>
    <xf numFmtId="0" fontId="7" fillId="2" borderId="48" xfId="4" applyFont="1" applyFill="1" applyBorder="1"/>
    <xf numFmtId="0" fontId="6" fillId="2" borderId="58" xfId="4" applyFont="1" applyFill="1" applyBorder="1"/>
    <xf numFmtId="0" fontId="0" fillId="0" borderId="0" xfId="0" applyAlignment="1">
      <alignment horizontal="left"/>
    </xf>
    <xf numFmtId="172" fontId="8" fillId="5" borderId="59" xfId="2" applyNumberFormat="1" applyFont="1" applyFill="1" applyBorder="1" applyProtection="1"/>
    <xf numFmtId="172" fontId="8" fillId="5" borderId="60" xfId="2" applyNumberFormat="1" applyFont="1" applyFill="1" applyBorder="1" applyProtection="1"/>
    <xf numFmtId="172" fontId="8" fillId="5" borderId="61" xfId="2" applyNumberFormat="1" applyFont="1" applyFill="1" applyBorder="1" applyProtection="1"/>
    <xf numFmtId="172" fontId="9" fillId="5" borderId="59" xfId="2" applyNumberFormat="1" applyFont="1" applyFill="1" applyBorder="1" applyProtection="1"/>
    <xf numFmtId="172" fontId="9" fillId="5" borderId="60" xfId="2" applyNumberFormat="1" applyFont="1" applyFill="1" applyBorder="1" applyProtection="1"/>
    <xf numFmtId="172" fontId="9" fillId="5" borderId="65" xfId="2" applyNumberFormat="1" applyFont="1" applyFill="1" applyBorder="1" applyProtection="1"/>
    <xf numFmtId="172" fontId="9" fillId="5" borderId="66" xfId="2" applyNumberFormat="1" applyFont="1" applyFill="1" applyBorder="1" applyProtection="1"/>
    <xf numFmtId="1" fontId="3" fillId="3" borderId="53" xfId="0" applyNumberFormat="1" applyFont="1" applyFill="1" applyBorder="1" applyAlignment="1">
      <alignment horizontal="center" vertical="center" wrapText="1"/>
    </xf>
    <xf numFmtId="173" fontId="9" fillId="5" borderId="65" xfId="1" applyNumberFormat="1" applyFont="1" applyFill="1" applyBorder="1" applyProtection="1"/>
    <xf numFmtId="173" fontId="9" fillId="5" borderId="64" xfId="1" applyNumberFormat="1" applyFont="1" applyFill="1" applyBorder="1" applyProtection="1"/>
    <xf numFmtId="173" fontId="8" fillId="7" borderId="63" xfId="1" applyNumberFormat="1" applyFont="1" applyFill="1" applyBorder="1" applyProtection="1"/>
    <xf numFmtId="0" fontId="8" fillId="5" borderId="67" xfId="2" applyNumberFormat="1" applyFont="1" applyFill="1" applyBorder="1" applyAlignment="1" applyProtection="1">
      <alignment horizontal="center"/>
    </xf>
    <xf numFmtId="1" fontId="0" fillId="0" borderId="67" xfId="0" applyNumberFormat="1" applyBorder="1" applyAlignment="1">
      <alignment horizontal="center"/>
    </xf>
    <xf numFmtId="173" fontId="8" fillId="7" borderId="71" xfId="1" applyNumberFormat="1" applyFont="1" applyFill="1" applyBorder="1" applyProtection="1"/>
    <xf numFmtId="173" fontId="8" fillId="7" borderId="53" xfId="1" applyNumberFormat="1" applyFont="1" applyFill="1" applyBorder="1" applyProtection="1"/>
    <xf numFmtId="0" fontId="0" fillId="102" borderId="0" xfId="0" applyFill="1" applyAlignment="1">
      <alignment horizontal="center"/>
    </xf>
    <xf numFmtId="0" fontId="3" fillId="102" borderId="0" xfId="0" applyFont="1" applyFill="1"/>
    <xf numFmtId="0" fontId="0" fillId="102" borderId="0" xfId="0" applyFill="1"/>
    <xf numFmtId="0" fontId="216" fillId="102" borderId="0" xfId="0" applyFont="1" applyFill="1" applyAlignment="1">
      <alignment horizontal="left" vertical="top"/>
    </xf>
    <xf numFmtId="0" fontId="5" fillId="2" borderId="48" xfId="3" applyFont="1" applyFill="1" applyBorder="1" applyAlignment="1">
      <alignment horizontal="left" indent="1"/>
    </xf>
    <xf numFmtId="0" fontId="7" fillId="2" borderId="67" xfId="4" applyFont="1" applyFill="1" applyBorder="1"/>
    <xf numFmtId="0" fontId="0" fillId="0" borderId="65" xfId="0" applyBorder="1" applyAlignment="1">
      <alignment horizontal="center" vertical="top"/>
    </xf>
    <xf numFmtId="0" fontId="0" fillId="0" borderId="66" xfId="0" applyBorder="1" applyAlignment="1">
      <alignment horizontal="center" vertical="top"/>
    </xf>
    <xf numFmtId="1" fontId="3" fillId="3" borderId="65" xfId="0" applyNumberFormat="1" applyFont="1" applyFill="1" applyBorder="1" applyAlignment="1">
      <alignment horizontal="center" vertical="center"/>
    </xf>
    <xf numFmtId="1" fontId="3" fillId="3" borderId="66" xfId="0" applyNumberFormat="1" applyFont="1" applyFill="1" applyBorder="1" applyAlignment="1">
      <alignment horizontal="center" vertical="center"/>
    </xf>
    <xf numFmtId="1" fontId="3" fillId="3" borderId="59" xfId="0" applyNumberFormat="1" applyFont="1" applyFill="1" applyBorder="1" applyAlignment="1">
      <alignment horizontal="center" vertical="center" wrapText="1"/>
    </xf>
    <xf numFmtId="1" fontId="3" fillId="3" borderId="61" xfId="0" applyNumberFormat="1" applyFont="1" applyFill="1" applyBorder="1" applyAlignment="1">
      <alignment horizontal="center" vertical="center" wrapText="1"/>
    </xf>
    <xf numFmtId="172" fontId="9" fillId="5" borderId="64" xfId="2" applyNumberFormat="1" applyFont="1" applyFill="1" applyBorder="1" applyProtection="1"/>
    <xf numFmtId="173" fontId="8" fillId="7" borderId="59" xfId="1" applyNumberFormat="1" applyFont="1" applyFill="1" applyBorder="1" applyProtection="1"/>
    <xf numFmtId="173" fontId="9" fillId="5" borderId="63" xfId="1" applyNumberFormat="1" applyFont="1" applyFill="1" applyBorder="1" applyProtection="1"/>
    <xf numFmtId="173" fontId="9" fillId="5" borderId="60" xfId="1" applyNumberFormat="1" applyFont="1" applyFill="1" applyBorder="1" applyProtection="1"/>
    <xf numFmtId="173" fontId="9" fillId="5" borderId="59" xfId="1" applyNumberFormat="1" applyFont="1" applyFill="1" applyBorder="1" applyProtection="1"/>
    <xf numFmtId="173" fontId="9" fillId="5" borderId="61" xfId="1" applyNumberFormat="1" applyFont="1" applyFill="1" applyBorder="1" applyProtection="1"/>
    <xf numFmtId="173" fontId="9" fillId="5" borderId="66" xfId="1" applyNumberFormat="1" applyFont="1" applyFill="1" applyBorder="1" applyProtection="1"/>
    <xf numFmtId="0" fontId="0" fillId="0" borderId="56" xfId="0" applyBorder="1"/>
    <xf numFmtId="0" fontId="0" fillId="0" borderId="53" xfId="0" applyBorder="1" applyAlignment="1">
      <alignment horizontal="center" vertical="top"/>
    </xf>
    <xf numFmtId="1" fontId="3" fillId="3" borderId="53" xfId="0" applyNumberFormat="1" applyFont="1" applyFill="1" applyBorder="1" applyAlignment="1">
      <alignment horizontal="center" vertical="center"/>
    </xf>
    <xf numFmtId="173" fontId="9" fillId="7" borderId="59" xfId="1" applyNumberFormat="1" applyFont="1" applyFill="1" applyBorder="1" applyProtection="1"/>
    <xf numFmtId="173" fontId="9" fillId="5" borderId="72" xfId="1" applyNumberFormat="1" applyFont="1" applyFill="1" applyBorder="1" applyProtection="1"/>
    <xf numFmtId="2" fontId="8" fillId="10" borderId="53" xfId="5" applyNumberFormat="1" applyFont="1" applyFill="1" applyBorder="1"/>
    <xf numFmtId="2" fontId="8" fillId="10" borderId="53" xfId="8" applyNumberFormat="1" applyFont="1" applyFill="1" applyBorder="1"/>
    <xf numFmtId="2" fontId="8" fillId="104" borderId="53" xfId="5" applyNumberFormat="1" applyFont="1" applyFill="1" applyBorder="1"/>
    <xf numFmtId="0" fontId="109" fillId="0" borderId="0" xfId="42537" applyAlignment="1">
      <alignment horizontal="left" vertical="top" wrapText="1"/>
    </xf>
    <xf numFmtId="0" fontId="0" fillId="0" borderId="83" xfId="0" applyBorder="1" applyAlignment="1">
      <alignment horizontal="center"/>
    </xf>
    <xf numFmtId="0" fontId="109" fillId="0" borderId="84" xfId="42537" quotePrefix="1" applyBorder="1"/>
    <xf numFmtId="0" fontId="109" fillId="0" borderId="84" xfId="42537" applyBorder="1"/>
    <xf numFmtId="0" fontId="0" fillId="0" borderId="85" xfId="0" applyBorder="1" applyAlignment="1">
      <alignment horizontal="center"/>
    </xf>
    <xf numFmtId="0" fontId="109" fillId="0" borderId="86" xfId="42537" quotePrefix="1" applyBorder="1"/>
    <xf numFmtId="0" fontId="0" fillId="0" borderId="87" xfId="0" applyBorder="1" applyAlignment="1">
      <alignment horizontal="center"/>
    </xf>
    <xf numFmtId="0" fontId="109" fillId="0" borderId="88" xfId="42537" quotePrefix="1" applyBorder="1"/>
    <xf numFmtId="0" fontId="3" fillId="105" borderId="89" xfId="0" applyFont="1" applyFill="1" applyBorder="1"/>
    <xf numFmtId="0" fontId="3" fillId="105" borderId="90" xfId="0" applyFont="1" applyFill="1" applyBorder="1"/>
    <xf numFmtId="0" fontId="220" fillId="0" borderId="0" xfId="0" applyFont="1"/>
    <xf numFmtId="0" fontId="224" fillId="0" borderId="0" xfId="0" applyFont="1"/>
    <xf numFmtId="172" fontId="224" fillId="0" borderId="0" xfId="0" applyNumberFormat="1" applyFont="1"/>
    <xf numFmtId="0" fontId="224" fillId="0" borderId="53" xfId="0" applyFont="1" applyBorder="1" applyAlignment="1">
      <alignment horizontal="center" vertical="top"/>
    </xf>
    <xf numFmtId="1" fontId="226" fillId="3" borderId="53" xfId="0" applyNumberFormat="1" applyFont="1" applyFill="1" applyBorder="1" applyAlignment="1">
      <alignment horizontal="center" vertical="center"/>
    </xf>
    <xf numFmtId="0" fontId="224" fillId="0" borderId="0" xfId="0" applyFont="1" applyAlignment="1">
      <alignment horizontal="center" vertical="center" wrapText="1"/>
    </xf>
    <xf numFmtId="0" fontId="226" fillId="0" borderId="0" xfId="0" applyFont="1"/>
    <xf numFmtId="0" fontId="220" fillId="0" borderId="0" xfId="0" applyFont="1" applyAlignment="1">
      <alignment horizontal="center"/>
    </xf>
    <xf numFmtId="0" fontId="224" fillId="0" borderId="0" xfId="0" applyFont="1" applyAlignment="1">
      <alignment horizontal="center"/>
    </xf>
    <xf numFmtId="0" fontId="224" fillId="0" borderId="53" xfId="0" applyFont="1" applyBorder="1" applyAlignment="1">
      <alignment horizontal="center" vertical="center"/>
    </xf>
    <xf numFmtId="0" fontId="224" fillId="0" borderId="53" xfId="0" applyFont="1" applyBorder="1" applyAlignment="1">
      <alignment horizontal="left" vertical="top" wrapText="1"/>
    </xf>
    <xf numFmtId="0" fontId="228" fillId="0" borderId="0" xfId="0" applyFont="1" applyAlignment="1">
      <alignment horizontal="center" vertical="center"/>
    </xf>
    <xf numFmtId="0" fontId="224" fillId="0" borderId="0" xfId="0" applyFont="1" applyAlignment="1">
      <alignment horizontal="left" vertical="top" wrapText="1"/>
    </xf>
    <xf numFmtId="0" fontId="229" fillId="0" borderId="75" xfId="0" applyFont="1" applyBorder="1"/>
    <xf numFmtId="0" fontId="229" fillId="0" borderId="75" xfId="0" applyFont="1" applyBorder="1" applyAlignment="1">
      <alignment horizontal="center" vertical="center" wrapText="1"/>
    </xf>
    <xf numFmtId="0" fontId="220" fillId="0" borderId="75" xfId="0" applyFont="1" applyBorder="1"/>
    <xf numFmtId="0" fontId="229" fillId="0" borderId="75" xfId="0" applyFont="1" applyBorder="1" applyAlignment="1">
      <alignment horizontal="center" vertical="center"/>
    </xf>
    <xf numFmtId="0" fontId="226" fillId="0" borderId="75" xfId="0" applyFont="1" applyBorder="1"/>
    <xf numFmtId="0" fontId="226" fillId="0" borderId="75" xfId="0" applyFont="1" applyBorder="1" applyAlignment="1">
      <alignment horizontal="center" vertical="center"/>
    </xf>
    <xf numFmtId="0" fontId="226" fillId="0" borderId="75" xfId="0" applyFont="1" applyBorder="1" applyAlignment="1">
      <alignment horizontal="center" vertical="center" wrapText="1"/>
    </xf>
    <xf numFmtId="0" fontId="226" fillId="0" borderId="76" xfId="0" applyFont="1" applyBorder="1" applyAlignment="1">
      <alignment horizontal="center" vertical="center"/>
    </xf>
    <xf numFmtId="0" fontId="226" fillId="0" borderId="76" xfId="0" applyFont="1" applyBorder="1" applyAlignment="1">
      <alignment horizontal="center" vertical="center" wrapText="1"/>
    </xf>
    <xf numFmtId="0" fontId="224" fillId="0" borderId="75" xfId="0" applyFont="1" applyBorder="1"/>
    <xf numFmtId="173" fontId="224" fillId="0" borderId="75" xfId="7" applyNumberFormat="1" applyFont="1" applyFill="1" applyBorder="1"/>
    <xf numFmtId="169" fontId="224" fillId="0" borderId="0" xfId="0" applyNumberFormat="1" applyFont="1"/>
    <xf numFmtId="9" fontId="224" fillId="102" borderId="78" xfId="2" applyFont="1" applyFill="1" applyBorder="1"/>
    <xf numFmtId="0" fontId="224" fillId="0" borderId="79" xfId="0" applyFont="1" applyBorder="1"/>
    <xf numFmtId="9" fontId="224" fillId="102" borderId="0" xfId="2" applyFont="1" applyFill="1" applyBorder="1"/>
    <xf numFmtId="172" fontId="224" fillId="102" borderId="67" xfId="2" applyNumberFormat="1" applyFont="1" applyFill="1" applyBorder="1"/>
    <xf numFmtId="9" fontId="224" fillId="102" borderId="3" xfId="2" applyFont="1" applyFill="1" applyBorder="1"/>
    <xf numFmtId="9" fontId="224" fillId="102" borderId="67" xfId="2" applyFont="1" applyFill="1" applyBorder="1"/>
    <xf numFmtId="9" fontId="224" fillId="102" borderId="73" xfId="2" applyFont="1" applyFill="1" applyBorder="1"/>
    <xf numFmtId="0" fontId="224" fillId="0" borderId="80" xfId="0" applyFont="1" applyBorder="1"/>
    <xf numFmtId="0" fontId="224" fillId="0" borderId="73" xfId="0" applyFont="1" applyBorder="1"/>
    <xf numFmtId="0" fontId="224" fillId="0" borderId="74" xfId="0" applyFont="1" applyBorder="1"/>
    <xf numFmtId="0" fontId="224" fillId="0" borderId="76" xfId="0" applyFont="1" applyBorder="1"/>
    <xf numFmtId="0" fontId="224" fillId="0" borderId="67" xfId="0" applyFont="1" applyBorder="1"/>
    <xf numFmtId="0" fontId="224" fillId="0" borderId="3" xfId="0" applyFont="1" applyBorder="1"/>
    <xf numFmtId="0" fontId="224" fillId="0" borderId="82" xfId="0" applyFont="1" applyBorder="1"/>
    <xf numFmtId="0" fontId="224" fillId="0" borderId="81" xfId="0" applyFont="1" applyBorder="1"/>
    <xf numFmtId="9" fontId="224" fillId="100" borderId="74" xfId="2" applyFont="1" applyFill="1" applyBorder="1" applyAlignment="1"/>
    <xf numFmtId="0" fontId="226" fillId="0" borderId="79" xfId="0" applyFont="1" applyBorder="1" applyAlignment="1">
      <alignment horizontal="center" vertical="center" wrapText="1"/>
    </xf>
    <xf numFmtId="0" fontId="224" fillId="0" borderId="53" xfId="0" applyFont="1" applyBorder="1"/>
    <xf numFmtId="0" fontId="229" fillId="0" borderId="0" xfId="0" applyFont="1" applyAlignment="1">
      <alignment horizontal="left" vertical="center" indent="1"/>
    </xf>
    <xf numFmtId="0" fontId="229" fillId="0" borderId="53" xfId="0" applyFont="1" applyBorder="1" applyAlignment="1">
      <alignment horizontal="center" vertical="center" wrapText="1"/>
    </xf>
    <xf numFmtId="173" fontId="221" fillId="7" borderId="53" xfId="1" applyNumberFormat="1" applyFont="1" applyFill="1" applyBorder="1" applyProtection="1"/>
    <xf numFmtId="173" fontId="222" fillId="5" borderId="53" xfId="1" applyNumberFormat="1" applyFont="1" applyFill="1" applyBorder="1" applyProtection="1"/>
    <xf numFmtId="172" fontId="222" fillId="5" borderId="65" xfId="2" applyNumberFormat="1" applyFont="1" applyFill="1" applyBorder="1" applyProtection="1"/>
    <xf numFmtId="172" fontId="222" fillId="5" borderId="53" xfId="2" applyNumberFormat="1" applyFont="1" applyFill="1" applyBorder="1" applyProtection="1"/>
    <xf numFmtId="173" fontId="222" fillId="5" borderId="65" xfId="1" applyNumberFormat="1" applyFont="1" applyFill="1" applyBorder="1" applyProtection="1"/>
    <xf numFmtId="0" fontId="226" fillId="0" borderId="0" xfId="0" applyFont="1" applyAlignment="1">
      <alignment horizontal="left" vertical="top"/>
    </xf>
    <xf numFmtId="0" fontId="225" fillId="5" borderId="75" xfId="2" applyNumberFormat="1" applyFont="1" applyFill="1" applyBorder="1" applyAlignment="1" applyProtection="1">
      <alignment horizontal="left" vertical="center"/>
    </xf>
    <xf numFmtId="0" fontId="225" fillId="5" borderId="76" xfId="2" applyNumberFormat="1" applyFont="1" applyFill="1" applyBorder="1" applyAlignment="1" applyProtection="1">
      <alignment horizontal="left" vertical="center"/>
    </xf>
    <xf numFmtId="172" fontId="224" fillId="0" borderId="75" xfId="2" applyNumberFormat="1" applyFont="1" applyBorder="1"/>
    <xf numFmtId="0" fontId="226" fillId="0" borderId="75" xfId="0" applyFont="1" applyBorder="1" applyAlignment="1">
      <alignment horizontal="left" vertical="center" wrapText="1"/>
    </xf>
    <xf numFmtId="172" fontId="226" fillId="0" borderId="75" xfId="2" applyNumberFormat="1" applyFont="1" applyBorder="1"/>
    <xf numFmtId="172" fontId="226" fillId="0" borderId="75" xfId="0" applyNumberFormat="1" applyFont="1" applyBorder="1"/>
    <xf numFmtId="172" fontId="224" fillId="0" borderId="75" xfId="0" applyNumberFormat="1" applyFont="1" applyBorder="1"/>
    <xf numFmtId="0" fontId="232" fillId="0" borderId="0" xfId="0" applyFont="1"/>
    <xf numFmtId="169" fontId="224" fillId="0" borderId="75" xfId="7" applyFont="1" applyBorder="1"/>
    <xf numFmtId="0" fontId="224" fillId="0" borderId="75" xfId="0" applyFont="1" applyBorder="1" applyAlignment="1">
      <alignment horizontal="left" vertical="top"/>
    </xf>
    <xf numFmtId="0" fontId="226" fillId="0" borderId="75" xfId="0" applyFont="1" applyBorder="1" applyAlignment="1">
      <alignment horizontal="left" vertical="top"/>
    </xf>
    <xf numFmtId="169" fontId="224" fillId="0" borderId="0" xfId="7" applyFont="1"/>
    <xf numFmtId="172" fontId="224" fillId="0" borderId="75" xfId="2" applyNumberFormat="1" applyFont="1" applyFill="1" applyBorder="1"/>
    <xf numFmtId="0" fontId="226" fillId="0" borderId="0" xfId="0" applyFont="1" applyAlignment="1">
      <alignment vertical="center"/>
    </xf>
    <xf numFmtId="0" fontId="225" fillId="5" borderId="53" xfId="2" applyNumberFormat="1" applyFont="1" applyFill="1" applyBorder="1" applyAlignment="1" applyProtection="1">
      <alignment horizontal="left" vertical="center"/>
    </xf>
    <xf numFmtId="172" fontId="224" fillId="0" borderId="53" xfId="2" applyNumberFormat="1" applyFont="1" applyBorder="1"/>
    <xf numFmtId="172" fontId="224" fillId="0" borderId="0" xfId="2" applyNumberFormat="1" applyFont="1"/>
    <xf numFmtId="169" fontId="224" fillId="0" borderId="0" xfId="1" applyFont="1"/>
    <xf numFmtId="0" fontId="225" fillId="5" borderId="97" xfId="2" applyNumberFormat="1" applyFont="1" applyFill="1" applyBorder="1" applyAlignment="1" applyProtection="1">
      <alignment horizontal="left" vertical="center"/>
    </xf>
    <xf numFmtId="0" fontId="226" fillId="0" borderId="53" xfId="0" applyFont="1" applyBorder="1"/>
    <xf numFmtId="0" fontId="229" fillId="0" borderId="0" xfId="0" applyFont="1" applyAlignment="1">
      <alignment horizontal="left" vertical="top"/>
    </xf>
    <xf numFmtId="0" fontId="233" fillId="0" borderId="0" xfId="0" applyFont="1" applyAlignment="1">
      <alignment horizontal="left"/>
    </xf>
    <xf numFmtId="0" fontId="229" fillId="0" borderId="0" xfId="0" applyFont="1"/>
    <xf numFmtId="0" fontId="220" fillId="0" borderId="0" xfId="0" applyFont="1" applyAlignment="1">
      <alignment horizontal="center" vertical="center" wrapText="1"/>
    </xf>
    <xf numFmtId="172" fontId="220" fillId="0" borderId="75" xfId="2" applyNumberFormat="1" applyFont="1" applyBorder="1" applyAlignment="1">
      <alignment horizontal="center" vertical="center"/>
    </xf>
    <xf numFmtId="172" fontId="220" fillId="0" borderId="97" xfId="2" applyNumberFormat="1" applyFont="1" applyBorder="1" applyAlignment="1">
      <alignment horizontal="center" vertical="center"/>
    </xf>
    <xf numFmtId="172" fontId="229" fillId="0" borderId="75" xfId="2" applyNumberFormat="1" applyFont="1" applyBorder="1" applyAlignment="1">
      <alignment horizontal="center" vertical="center"/>
    </xf>
    <xf numFmtId="172" fontId="229" fillId="0" borderId="97" xfId="2" applyNumberFormat="1" applyFont="1" applyBorder="1" applyAlignment="1">
      <alignment horizontal="center" vertical="center"/>
    </xf>
    <xf numFmtId="172" fontId="229" fillId="0" borderId="75" xfId="0" applyNumberFormat="1" applyFont="1" applyBorder="1" applyAlignment="1">
      <alignment horizontal="center" vertical="center"/>
    </xf>
    <xf numFmtId="172" fontId="229" fillId="0" borderId="97" xfId="0" applyNumberFormat="1" applyFont="1" applyBorder="1" applyAlignment="1">
      <alignment horizontal="center" vertical="center"/>
    </xf>
    <xf numFmtId="172" fontId="220" fillId="0" borderId="75" xfId="0" applyNumberFormat="1" applyFont="1" applyBorder="1" applyAlignment="1">
      <alignment horizontal="center" vertical="center"/>
    </xf>
    <xf numFmtId="172" fontId="220" fillId="0" borderId="97" xfId="0" applyNumberFormat="1" applyFont="1" applyBorder="1" applyAlignment="1">
      <alignment horizontal="center" vertical="center"/>
    </xf>
    <xf numFmtId="169" fontId="234" fillId="0" borderId="0" xfId="1" applyFont="1" applyAlignment="1">
      <alignment horizontal="center" vertical="center"/>
    </xf>
    <xf numFmtId="169" fontId="227" fillId="0" borderId="0" xfId="1" applyFont="1" applyAlignment="1">
      <alignment horizontal="center" vertical="center"/>
    </xf>
    <xf numFmtId="0" fontId="222" fillId="5" borderId="0" xfId="2" applyNumberFormat="1" applyFont="1" applyFill="1" applyBorder="1" applyAlignment="1" applyProtection="1">
      <alignment horizontal="left" vertical="center"/>
    </xf>
    <xf numFmtId="169" fontId="220" fillId="0" borderId="0" xfId="7" applyFont="1" applyBorder="1"/>
    <xf numFmtId="0" fontId="222" fillId="5" borderId="75" xfId="2" applyNumberFormat="1" applyFont="1" applyFill="1" applyBorder="1" applyAlignment="1" applyProtection="1">
      <alignment horizontal="left" vertical="center"/>
    </xf>
    <xf numFmtId="0" fontId="220" fillId="0" borderId="75" xfId="0" applyFont="1" applyBorder="1" applyAlignment="1">
      <alignment horizontal="left" vertical="top"/>
    </xf>
    <xf numFmtId="172" fontId="220" fillId="0" borderId="75" xfId="2" applyNumberFormat="1" applyFont="1" applyBorder="1"/>
    <xf numFmtId="172" fontId="220" fillId="0" borderId="0" xfId="0" applyNumberFormat="1" applyFont="1"/>
    <xf numFmtId="0" fontId="229" fillId="0" borderId="75" xfId="0" applyFont="1" applyBorder="1" applyAlignment="1">
      <alignment horizontal="left" vertical="top"/>
    </xf>
    <xf numFmtId="172" fontId="229" fillId="0" borderId="75" xfId="2" applyNumberFormat="1" applyFont="1" applyBorder="1"/>
    <xf numFmtId="169" fontId="220" fillId="0" borderId="0" xfId="7" applyFont="1"/>
    <xf numFmtId="172" fontId="220" fillId="0" borderId="0" xfId="2" applyNumberFormat="1" applyFont="1"/>
    <xf numFmtId="0" fontId="109" fillId="0" borderId="99" xfId="42537" applyBorder="1"/>
    <xf numFmtId="9" fontId="224" fillId="0" borderId="53" xfId="2" applyFont="1" applyBorder="1"/>
    <xf numFmtId="9" fontId="224" fillId="0" borderId="3" xfId="2" applyFont="1" applyBorder="1"/>
    <xf numFmtId="9" fontId="224" fillId="0" borderId="0" xfId="2" applyFont="1"/>
    <xf numFmtId="9" fontId="224" fillId="0" borderId="67" xfId="2" applyFont="1" applyBorder="1"/>
    <xf numFmtId="0" fontId="224" fillId="0" borderId="100" xfId="0" applyFont="1" applyBorder="1" applyAlignment="1">
      <alignment horizontal="left" vertical="top"/>
    </xf>
    <xf numFmtId="172" fontId="224" fillId="0" borderId="100" xfId="2" applyNumberFormat="1" applyFont="1" applyBorder="1"/>
    <xf numFmtId="0" fontId="226" fillId="0" borderId="53" xfId="0" applyFont="1" applyBorder="1" applyAlignment="1">
      <alignment horizontal="left" vertical="top"/>
    </xf>
    <xf numFmtId="172" fontId="226" fillId="0" borderId="53" xfId="2" applyNumberFormat="1" applyFont="1" applyBorder="1"/>
    <xf numFmtId="0" fontId="224" fillId="0" borderId="53" xfId="0" applyFont="1" applyBorder="1" applyAlignment="1">
      <alignment horizontal="left" vertical="top"/>
    </xf>
    <xf numFmtId="0" fontId="224" fillId="0" borderId="97" xfId="0" applyFont="1" applyBorder="1" applyAlignment="1">
      <alignment horizontal="left" vertical="top"/>
    </xf>
    <xf numFmtId="172" fontId="220" fillId="0" borderId="53" xfId="2" applyNumberFormat="1" applyFont="1" applyBorder="1"/>
    <xf numFmtId="172" fontId="229" fillId="0" borderId="53" xfId="2" applyNumberFormat="1" applyFont="1" applyBorder="1"/>
    <xf numFmtId="9" fontId="224" fillId="102" borderId="53" xfId="2" applyFont="1" applyFill="1" applyBorder="1"/>
    <xf numFmtId="172" fontId="224" fillId="102" borderId="53" xfId="2" applyNumberFormat="1" applyFont="1" applyFill="1" applyBorder="1"/>
    <xf numFmtId="9" fontId="224" fillId="100" borderId="53" xfId="2" applyFont="1" applyFill="1" applyBorder="1" applyAlignment="1">
      <alignment horizontal="right"/>
    </xf>
    <xf numFmtId="172" fontId="220" fillId="0" borderId="53" xfId="2" applyNumberFormat="1" applyFont="1" applyFill="1" applyBorder="1"/>
    <xf numFmtId="0" fontId="224" fillId="0" borderId="82" xfId="0" applyFont="1" applyBorder="1" applyAlignment="1">
      <alignment horizontal="left" vertical="top"/>
    </xf>
    <xf numFmtId="0" fontId="226" fillId="0" borderId="54" xfId="0" applyFont="1" applyBorder="1" applyAlignment="1">
      <alignment horizontal="left" vertical="top"/>
    </xf>
    <xf numFmtId="0" fontId="224" fillId="0" borderId="54" xfId="0" applyFont="1" applyBorder="1" applyAlignment="1">
      <alignment horizontal="left" vertical="top"/>
    </xf>
    <xf numFmtId="0" fontId="224" fillId="0" borderId="54" xfId="0" applyFont="1" applyBorder="1"/>
    <xf numFmtId="0" fontId="226" fillId="0" borderId="54" xfId="0" applyFont="1" applyBorder="1"/>
    <xf numFmtId="172" fontId="226" fillId="0" borderId="75" xfId="2" applyNumberFormat="1" applyFont="1" applyFill="1" applyBorder="1"/>
    <xf numFmtId="0" fontId="229" fillId="8" borderId="97" xfId="0" applyFont="1" applyFill="1" applyBorder="1" applyAlignment="1">
      <alignment vertical="center"/>
    </xf>
    <xf numFmtId="0" fontId="220" fillId="0" borderId="97" xfId="0" applyFont="1" applyBorder="1" applyAlignment="1">
      <alignment horizontal="left" vertical="center" wrapText="1"/>
    </xf>
    <xf numFmtId="0" fontId="229" fillId="0" borderId="97" xfId="0" applyFont="1" applyBorder="1" applyAlignment="1">
      <alignment horizontal="left" vertical="center" wrapText="1"/>
    </xf>
    <xf numFmtId="172" fontId="220" fillId="0" borderId="103" xfId="2" applyNumberFormat="1" applyFont="1" applyBorder="1" applyAlignment="1">
      <alignment horizontal="center" vertical="center"/>
    </xf>
    <xf numFmtId="172" fontId="220" fillId="0" borderId="104" xfId="2" applyNumberFormat="1" applyFont="1" applyBorder="1" applyAlignment="1">
      <alignment horizontal="center" vertical="center"/>
    </xf>
    <xf numFmtId="172" fontId="229" fillId="0" borderId="103" xfId="2" applyNumberFormat="1" applyFont="1" applyBorder="1" applyAlignment="1">
      <alignment horizontal="center" vertical="center"/>
    </xf>
    <xf numFmtId="172" fontId="229" fillId="0" borderId="104" xfId="2" applyNumberFormat="1" applyFont="1" applyBorder="1" applyAlignment="1">
      <alignment horizontal="center" vertical="center"/>
    </xf>
    <xf numFmtId="172" fontId="229" fillId="0" borderId="103" xfId="0" applyNumberFormat="1" applyFont="1" applyBorder="1" applyAlignment="1">
      <alignment horizontal="center" vertical="center"/>
    </xf>
    <xf numFmtId="172" fontId="229" fillId="0" borderId="104" xfId="0" applyNumberFormat="1" applyFont="1" applyBorder="1" applyAlignment="1">
      <alignment horizontal="center" vertical="center"/>
    </xf>
    <xf numFmtId="172" fontId="220" fillId="0" borderId="103" xfId="0" applyNumberFormat="1" applyFont="1" applyBorder="1" applyAlignment="1">
      <alignment horizontal="center" vertical="center"/>
    </xf>
    <xf numFmtId="172" fontId="220" fillId="0" borderId="104" xfId="0" applyNumberFormat="1" applyFont="1" applyBorder="1" applyAlignment="1">
      <alignment horizontal="center" vertical="center"/>
    </xf>
    <xf numFmtId="172" fontId="220" fillId="0" borderId="111" xfId="2" applyNumberFormat="1" applyFont="1" applyBorder="1" applyAlignment="1">
      <alignment horizontal="center" vertical="center"/>
    </xf>
    <xf numFmtId="172" fontId="229" fillId="0" borderId="111" xfId="2" applyNumberFormat="1" applyFont="1" applyBorder="1" applyAlignment="1">
      <alignment horizontal="center" vertical="center"/>
    </xf>
    <xf numFmtId="172" fontId="229" fillId="0" borderId="111" xfId="0" applyNumberFormat="1" applyFont="1" applyBorder="1" applyAlignment="1">
      <alignment horizontal="center" vertical="center"/>
    </xf>
    <xf numFmtId="172" fontId="220" fillId="0" borderId="111" xfId="0" applyNumberFormat="1" applyFont="1" applyBorder="1" applyAlignment="1">
      <alignment horizontal="center" vertical="center"/>
    </xf>
    <xf numFmtId="0" fontId="229" fillId="0" borderId="116" xfId="0" applyFont="1" applyBorder="1" applyAlignment="1">
      <alignment horizontal="center" vertical="center" wrapText="1"/>
    </xf>
    <xf numFmtId="0" fontId="229" fillId="0" borderId="117" xfId="0" applyFont="1" applyBorder="1" applyAlignment="1">
      <alignment horizontal="center" vertical="center" wrapText="1"/>
    </xf>
    <xf numFmtId="0" fontId="229" fillId="8" borderId="97" xfId="0" applyFont="1" applyFill="1" applyBorder="1" applyAlignment="1">
      <alignment horizontal="left"/>
    </xf>
    <xf numFmtId="0" fontId="229" fillId="8" borderId="118" xfId="0" applyFont="1" applyFill="1" applyBorder="1" applyAlignment="1">
      <alignment vertical="center"/>
    </xf>
    <xf numFmtId="0" fontId="229" fillId="0" borderId="103" xfId="0" applyFont="1" applyBorder="1" applyAlignment="1">
      <alignment horizontal="center" vertical="center" wrapText="1"/>
    </xf>
    <xf numFmtId="0" fontId="229" fillId="0" borderId="97" xfId="0" applyFont="1" applyBorder="1" applyAlignment="1">
      <alignment horizontal="center" vertical="center" wrapText="1"/>
    </xf>
    <xf numFmtId="0" fontId="229" fillId="0" borderId="110" xfId="0" applyFont="1" applyBorder="1" applyAlignment="1">
      <alignment horizontal="center" vertical="center" wrapText="1"/>
    </xf>
    <xf numFmtId="0" fontId="229" fillId="0" borderId="111" xfId="0" applyFont="1" applyBorder="1" applyAlignment="1">
      <alignment horizontal="center" vertical="center" wrapText="1"/>
    </xf>
    <xf numFmtId="172" fontId="223" fillId="0" borderId="0" xfId="0" applyNumberFormat="1" applyFont="1"/>
    <xf numFmtId="0" fontId="109" fillId="0" borderId="84" xfId="42537" applyFill="1" applyBorder="1"/>
    <xf numFmtId="0" fontId="109" fillId="0" borderId="84" xfId="42537" quotePrefix="1" applyFill="1" applyBorder="1"/>
    <xf numFmtId="0" fontId="3" fillId="0" borderId="53" xfId="0" applyFont="1" applyBorder="1"/>
    <xf numFmtId="0" fontId="3" fillId="0" borderId="53" xfId="0" applyFont="1" applyBorder="1" applyAlignment="1">
      <alignment horizontal="center" vertical="center"/>
    </xf>
    <xf numFmtId="172" fontId="1" fillId="101" borderId="53" xfId="2" applyNumberFormat="1" applyFont="1" applyFill="1" applyBorder="1"/>
    <xf numFmtId="0" fontId="235" fillId="106" borderId="48" xfId="0" applyFont="1" applyFill="1" applyBorder="1" applyAlignment="1">
      <alignment horizontal="left" indent="1"/>
    </xf>
    <xf numFmtId="0" fontId="235" fillId="106" borderId="48" xfId="0" applyFont="1" applyFill="1" applyBorder="1" applyAlignment="1">
      <alignment horizontal="left"/>
    </xf>
    <xf numFmtId="0" fontId="236" fillId="106" borderId="48" xfId="0" applyFont="1" applyFill="1" applyBorder="1" applyAlignment="1">
      <alignment horizontal="left"/>
    </xf>
    <xf numFmtId="0" fontId="237" fillId="106" borderId="48" xfId="0" applyFont="1" applyFill="1" applyBorder="1"/>
    <xf numFmtId="0" fontId="238" fillId="106" borderId="58" xfId="0" applyFont="1" applyFill="1" applyBorder="1"/>
    <xf numFmtId="0" fontId="237" fillId="0" borderId="0" xfId="0" applyFont="1"/>
    <xf numFmtId="0" fontId="235" fillId="106" borderId="0" xfId="0" applyFont="1" applyFill="1" applyAlignment="1">
      <alignment horizontal="left" indent="1"/>
    </xf>
    <xf numFmtId="0" fontId="235" fillId="106" borderId="0" xfId="0" applyFont="1" applyFill="1" applyAlignment="1">
      <alignment horizontal="left"/>
    </xf>
    <xf numFmtId="0" fontId="236" fillId="106" borderId="0" xfId="0" applyFont="1" applyFill="1" applyAlignment="1">
      <alignment horizontal="left"/>
    </xf>
    <xf numFmtId="0" fontId="237" fillId="106" borderId="0" xfId="0" applyFont="1" applyFill="1"/>
    <xf numFmtId="0" fontId="237" fillId="106" borderId="67" xfId="0" applyFont="1" applyFill="1" applyBorder="1"/>
    <xf numFmtId="0" fontId="236" fillId="106" borderId="6" xfId="0" applyFont="1" applyFill="1" applyBorder="1" applyAlignment="1">
      <alignment horizontal="left"/>
    </xf>
    <xf numFmtId="0" fontId="237" fillId="106" borderId="6" xfId="0" applyFont="1" applyFill="1" applyBorder="1"/>
    <xf numFmtId="0" fontId="237" fillId="106" borderId="7" xfId="0" applyFont="1" applyFill="1" applyBorder="1"/>
    <xf numFmtId="0" fontId="237" fillId="0" borderId="0" xfId="0" applyFont="1" applyAlignment="1">
      <alignment horizontal="left" indent="1"/>
    </xf>
    <xf numFmtId="0" fontId="237" fillId="0" borderId="0" xfId="0" applyFont="1" applyAlignment="1">
      <alignment horizontal="right"/>
    </xf>
    <xf numFmtId="0" fontId="237" fillId="0" borderId="91" xfId="0" applyFont="1" applyBorder="1" applyAlignment="1">
      <alignment horizontal="center" vertical="top"/>
    </xf>
    <xf numFmtId="0" fontId="237" fillId="0" borderId="3" xfId="0" applyFont="1" applyBorder="1"/>
    <xf numFmtId="0" fontId="238" fillId="107" borderId="91" xfId="0" applyFont="1" applyFill="1" applyBorder="1" applyAlignment="1">
      <alignment horizontal="center" vertical="center"/>
    </xf>
    <xf numFmtId="0" fontId="237" fillId="0" borderId="0" xfId="0" applyFont="1" applyAlignment="1">
      <alignment vertical="center"/>
    </xf>
    <xf numFmtId="0" fontId="238" fillId="107" borderId="92" xfId="0" applyFont="1" applyFill="1" applyBorder="1" applyAlignment="1">
      <alignment horizontal="center" vertical="center" wrapText="1"/>
    </xf>
    <xf numFmtId="0" fontId="238" fillId="107" borderId="93" xfId="0" applyFont="1" applyFill="1" applyBorder="1" applyAlignment="1">
      <alignment horizontal="center" vertical="center" wrapText="1"/>
    </xf>
    <xf numFmtId="0" fontId="238" fillId="108" borderId="0" xfId="0" applyFont="1" applyFill="1" applyAlignment="1">
      <alignment horizontal="left" vertical="center" indent="1"/>
    </xf>
    <xf numFmtId="0" fontId="237" fillId="108" borderId="0" xfId="0" applyFont="1" applyFill="1"/>
    <xf numFmtId="0" fontId="238" fillId="0" borderId="0" xfId="0" applyFont="1" applyAlignment="1">
      <alignment horizontal="left" vertical="center" indent="1"/>
    </xf>
    <xf numFmtId="0" fontId="221" fillId="109" borderId="0" xfId="0" applyFont="1" applyFill="1" applyAlignment="1">
      <alignment horizontal="left" indent="1"/>
    </xf>
    <xf numFmtId="0" fontId="221" fillId="0" borderId="67" xfId="0" applyFont="1" applyBorder="1" applyAlignment="1">
      <alignment horizontal="center"/>
    </xf>
    <xf numFmtId="172" fontId="237" fillId="0" borderId="0" xfId="0" applyNumberFormat="1" applyFont="1"/>
    <xf numFmtId="0" fontId="222" fillId="109" borderId="0" xfId="0" applyFont="1" applyFill="1" applyAlignment="1">
      <alignment horizontal="left" indent="1"/>
    </xf>
    <xf numFmtId="0" fontId="238" fillId="0" borderId="0" xfId="0" applyFont="1"/>
    <xf numFmtId="0" fontId="221" fillId="0" borderId="0" xfId="0" applyFont="1" applyAlignment="1">
      <alignment horizontal="center"/>
    </xf>
    <xf numFmtId="172" fontId="221" fillId="5" borderId="8" xfId="2" applyNumberFormat="1" applyFont="1" applyFill="1" applyBorder="1" applyProtection="1"/>
    <xf numFmtId="172" fontId="221" fillId="5" borderId="9" xfId="2" applyNumberFormat="1" applyFont="1" applyFill="1" applyBorder="1" applyProtection="1"/>
    <xf numFmtId="172" fontId="221" fillId="5" borderId="59" xfId="2" applyNumberFormat="1" applyFont="1" applyFill="1" applyBorder="1" applyProtection="1"/>
    <xf numFmtId="172" fontId="221" fillId="5" borderId="61" xfId="2" applyNumberFormat="1" applyFont="1" applyFill="1" applyBorder="1" applyProtection="1"/>
    <xf numFmtId="172" fontId="222" fillId="5" borderId="8" xfId="2" applyNumberFormat="1" applyFont="1" applyFill="1" applyBorder="1" applyProtection="1"/>
    <xf numFmtId="172" fontId="229" fillId="0" borderId="0" xfId="0" applyNumberFormat="1" applyFont="1"/>
    <xf numFmtId="0" fontId="222" fillId="0" borderId="0" xfId="0" applyFont="1" applyAlignment="1">
      <alignment horizontal="left" indent="1"/>
    </xf>
    <xf numFmtId="0" fontId="222" fillId="0" borderId="0" xfId="0" applyFont="1"/>
    <xf numFmtId="0" fontId="222" fillId="108" borderId="0" xfId="0" applyFont="1" applyFill="1" applyAlignment="1">
      <alignment horizontal="left" indent="1"/>
    </xf>
    <xf numFmtId="0" fontId="221" fillId="108" borderId="0" xfId="0" applyFont="1" applyFill="1" applyAlignment="1">
      <alignment horizontal="center"/>
    </xf>
    <xf numFmtId="0" fontId="222" fillId="108" borderId="0" xfId="0" applyFont="1" applyFill="1"/>
    <xf numFmtId="0" fontId="221" fillId="111" borderId="0" xfId="0" applyFont="1" applyFill="1" applyAlignment="1">
      <alignment horizontal="left" indent="1"/>
    </xf>
    <xf numFmtId="0" fontId="222" fillId="111" borderId="0" xfId="0" applyFont="1" applyFill="1" applyAlignment="1">
      <alignment horizontal="left" indent="1"/>
    </xf>
    <xf numFmtId="1" fontId="220" fillId="0" borderId="0" xfId="0" applyNumberFormat="1" applyFont="1"/>
    <xf numFmtId="173" fontId="221" fillId="7" borderId="59" xfId="1" applyNumberFormat="1" applyFont="1" applyFill="1" applyBorder="1" applyProtection="1"/>
    <xf numFmtId="0" fontId="237" fillId="0" borderId="94" xfId="0" applyFont="1" applyBorder="1" applyAlignment="1">
      <alignment horizontal="left" indent="1"/>
    </xf>
    <xf numFmtId="0" fontId="221" fillId="0" borderId="0" xfId="1" applyNumberFormat="1" applyFont="1" applyFill="1" applyBorder="1" applyAlignment="1" applyProtection="1"/>
    <xf numFmtId="173" fontId="221" fillId="7" borderId="71" xfId="1" applyNumberFormat="1" applyFont="1" applyFill="1" applyBorder="1" applyProtection="1"/>
    <xf numFmtId="1" fontId="229" fillId="0" borderId="0" xfId="0" applyNumberFormat="1" applyFont="1"/>
    <xf numFmtId="173" fontId="222" fillId="5" borderId="59" xfId="1" applyNumberFormat="1" applyFont="1" applyFill="1" applyBorder="1" applyProtection="1"/>
    <xf numFmtId="173" fontId="222" fillId="5" borderId="61" xfId="1" applyNumberFormat="1" applyFont="1" applyFill="1" applyBorder="1" applyProtection="1"/>
    <xf numFmtId="173" fontId="222" fillId="5" borderId="66" xfId="1" applyNumberFormat="1" applyFont="1" applyFill="1" applyBorder="1" applyProtection="1"/>
    <xf numFmtId="173" fontId="222" fillId="5" borderId="64" xfId="1" applyNumberFormat="1" applyFont="1" applyFill="1" applyBorder="1" applyProtection="1"/>
    <xf numFmtId="0" fontId="237" fillId="0" borderId="6" xfId="0" applyFont="1" applyBorder="1"/>
    <xf numFmtId="0" fontId="229" fillId="0" borderId="0" xfId="0" applyFont="1" applyAlignment="1">
      <alignment horizontal="left" indent="1"/>
    </xf>
    <xf numFmtId="0" fontId="220" fillId="0" borderId="53" xfId="0" applyFont="1" applyBorder="1" applyAlignment="1">
      <alignment horizontal="center" vertical="top"/>
    </xf>
    <xf numFmtId="0" fontId="220" fillId="0" borderId="0" xfId="0" applyFont="1" applyAlignment="1">
      <alignment horizontal="left" indent="1"/>
    </xf>
    <xf numFmtId="1" fontId="229" fillId="3" borderId="53" xfId="0" applyNumberFormat="1" applyFont="1" applyFill="1" applyBorder="1" applyAlignment="1">
      <alignment horizontal="center" vertical="center"/>
    </xf>
    <xf numFmtId="1" fontId="229" fillId="3" borderId="53" xfId="0" applyNumberFormat="1" applyFont="1" applyFill="1" applyBorder="1" applyAlignment="1">
      <alignment horizontal="center" vertical="center" wrapText="1"/>
    </xf>
    <xf numFmtId="1" fontId="229" fillId="3" borderId="53" xfId="0" applyNumberFormat="1" applyFont="1" applyFill="1" applyBorder="1" applyAlignment="1">
      <alignment horizontal="center" wrapText="1"/>
    </xf>
    <xf numFmtId="0" fontId="220" fillId="0" borderId="0" xfId="0" applyFont="1" applyAlignment="1">
      <alignment horizontal="left" wrapText="1" indent="1"/>
    </xf>
    <xf numFmtId="173" fontId="222" fillId="7" borderId="59" xfId="1" applyNumberFormat="1" applyFont="1" applyFill="1" applyBorder="1" applyProtection="1"/>
    <xf numFmtId="0" fontId="220" fillId="0" borderId="0" xfId="0" applyFont="1" applyAlignment="1">
      <alignment horizontal="center" vertical="center"/>
    </xf>
    <xf numFmtId="169" fontId="222" fillId="5" borderId="65" xfId="1" applyFont="1" applyFill="1" applyBorder="1" applyProtection="1"/>
    <xf numFmtId="172" fontId="221" fillId="110" borderId="92" xfId="0" applyNumberFormat="1" applyFont="1" applyFill="1" applyBorder="1"/>
    <xf numFmtId="172" fontId="221" fillId="110" borderId="93" xfId="0" applyNumberFormat="1" applyFont="1" applyFill="1" applyBorder="1"/>
    <xf numFmtId="172" fontId="222" fillId="110" borderId="92" xfId="0" applyNumberFormat="1" applyFont="1" applyFill="1" applyBorder="1"/>
    <xf numFmtId="172" fontId="238" fillId="0" borderId="0" xfId="0" applyNumberFormat="1" applyFont="1"/>
    <xf numFmtId="172" fontId="237" fillId="108" borderId="0" xfId="0" applyNumberFormat="1" applyFont="1" applyFill="1"/>
    <xf numFmtId="172" fontId="222" fillId="5" borderId="59" xfId="2" applyNumberFormat="1" applyFont="1" applyFill="1" applyBorder="1"/>
    <xf numFmtId="172" fontId="222" fillId="5" borderId="65" xfId="2" applyNumberFormat="1" applyFont="1" applyFill="1" applyBorder="1"/>
    <xf numFmtId="172" fontId="222" fillId="5" borderId="64" xfId="2" applyNumberFormat="1" applyFont="1" applyFill="1" applyBorder="1" applyProtection="1"/>
    <xf numFmtId="172" fontId="222" fillId="5" borderId="59" xfId="2" applyNumberFormat="1" applyFont="1" applyFill="1" applyBorder="1" applyProtection="1"/>
    <xf numFmtId="172" fontId="222" fillId="5" borderId="66" xfId="2" applyNumberFormat="1" applyFont="1" applyFill="1" applyBorder="1" applyProtection="1"/>
    <xf numFmtId="173" fontId="221" fillId="103" borderId="53" xfId="1" applyNumberFormat="1" applyFont="1" applyFill="1" applyBorder="1" applyProtection="1"/>
    <xf numFmtId="0" fontId="221" fillId="0" borderId="0" xfId="0" applyFont="1" applyAlignment="1">
      <alignment horizontal="left" indent="1"/>
    </xf>
    <xf numFmtId="173" fontId="222" fillId="103" borderId="53" xfId="1" applyNumberFormat="1" applyFont="1" applyFill="1" applyBorder="1" applyProtection="1"/>
    <xf numFmtId="0" fontId="238" fillId="0" borderId="0" xfId="0" applyFont="1" applyAlignment="1">
      <alignment horizontal="left" indent="1"/>
    </xf>
    <xf numFmtId="0" fontId="239" fillId="106" borderId="48" xfId="0" applyFont="1" applyFill="1" applyBorder="1" applyAlignment="1">
      <alignment horizontal="left" indent="1"/>
    </xf>
    <xf numFmtId="0" fontId="239" fillId="106" borderId="48" xfId="0" applyFont="1" applyFill="1" applyBorder="1" applyAlignment="1">
      <alignment horizontal="left"/>
    </xf>
    <xf numFmtId="0" fontId="222" fillId="106" borderId="48" xfId="0" applyFont="1" applyFill="1" applyBorder="1" applyAlignment="1">
      <alignment horizontal="left"/>
    </xf>
    <xf numFmtId="0" fontId="239" fillId="106" borderId="0" xfId="0" applyFont="1" applyFill="1" applyAlignment="1">
      <alignment horizontal="left" indent="1"/>
    </xf>
    <xf numFmtId="0" fontId="239" fillId="106" borderId="0" xfId="0" applyFont="1" applyFill="1" applyAlignment="1">
      <alignment horizontal="left"/>
    </xf>
    <xf numFmtId="0" fontId="222" fillId="106" borderId="0" xfId="0" applyFont="1" applyFill="1" applyAlignment="1">
      <alignment horizontal="left"/>
    </xf>
    <xf numFmtId="0" fontId="222" fillId="106" borderId="6" xfId="0" applyFont="1" applyFill="1" applyBorder="1" applyAlignment="1">
      <alignment horizontal="left"/>
    </xf>
    <xf numFmtId="173" fontId="221" fillId="5" borderId="53" xfId="1" applyNumberFormat="1" applyFont="1" applyFill="1" applyBorder="1" applyProtection="1"/>
    <xf numFmtId="0" fontId="237" fillId="0" borderId="0" xfId="0" applyFont="1" applyAlignment="1">
      <alignment horizontal="center"/>
    </xf>
    <xf numFmtId="0" fontId="237" fillId="0" borderId="0" xfId="0" applyFont="1" applyAlignment="1">
      <alignment horizontal="center" vertical="top"/>
    </xf>
    <xf numFmtId="0" fontId="221" fillId="0" borderId="0" xfId="1" applyNumberFormat="1" applyFont="1" applyFill="1" applyBorder="1" applyAlignment="1" applyProtection="1">
      <alignment horizontal="center"/>
    </xf>
    <xf numFmtId="0" fontId="229" fillId="0" borderId="0" xfId="0" applyFont="1" applyAlignment="1">
      <alignment horizontal="center"/>
    </xf>
    <xf numFmtId="0" fontId="237" fillId="0" borderId="0" xfId="0" applyFont="1" applyAlignment="1">
      <alignment horizontal="center" vertical="center"/>
    </xf>
    <xf numFmtId="0" fontId="221" fillId="0" borderId="0" xfId="1" applyNumberFormat="1" applyFont="1" applyFill="1" applyBorder="1" applyAlignment="1" applyProtection="1">
      <alignment horizontal="center" vertical="center"/>
    </xf>
    <xf numFmtId="0" fontId="229" fillId="0" borderId="0" xfId="0" applyFont="1" applyAlignment="1">
      <alignment horizontal="center" vertical="center"/>
    </xf>
    <xf numFmtId="0" fontId="220" fillId="0" borderId="0" xfId="0" applyFont="1" applyAlignment="1">
      <alignment vertical="center"/>
    </xf>
    <xf numFmtId="0" fontId="236" fillId="2" borderId="48" xfId="3" applyFont="1" applyFill="1" applyBorder="1" applyAlignment="1">
      <alignment horizontal="left" indent="1"/>
    </xf>
    <xf numFmtId="0" fontId="236" fillId="2" borderId="48" xfId="3" applyFont="1" applyFill="1" applyBorder="1" applyAlignment="1">
      <alignment horizontal="left"/>
    </xf>
    <xf numFmtId="0" fontId="240" fillId="2" borderId="48" xfId="4" applyFont="1" applyFill="1" applyBorder="1"/>
    <xf numFmtId="0" fontId="241" fillId="2" borderId="58" xfId="4" applyFont="1" applyFill="1" applyBorder="1"/>
    <xf numFmtId="0" fontId="236" fillId="2" borderId="0" xfId="3" applyFont="1" applyFill="1" applyAlignment="1">
      <alignment horizontal="left" indent="1"/>
    </xf>
    <xf numFmtId="0" fontId="236" fillId="2" borderId="0" xfId="3" applyFont="1" applyFill="1" applyAlignment="1">
      <alignment horizontal="left"/>
    </xf>
    <xf numFmtId="0" fontId="240" fillId="2" borderId="0" xfId="4" applyFont="1" applyFill="1"/>
    <xf numFmtId="0" fontId="240" fillId="2" borderId="67" xfId="4" applyFont="1" applyFill="1" applyBorder="1"/>
    <xf numFmtId="0" fontId="236" fillId="2" borderId="6" xfId="3" applyFont="1" applyFill="1" applyBorder="1" applyAlignment="1">
      <alignment horizontal="left" indent="1"/>
    </xf>
    <xf numFmtId="0" fontId="236" fillId="2" borderId="6" xfId="3" applyFont="1" applyFill="1" applyBorder="1" applyAlignment="1">
      <alignment horizontal="left"/>
    </xf>
    <xf numFmtId="0" fontId="240" fillId="2" borderId="6" xfId="4" applyFont="1" applyFill="1" applyBorder="1"/>
    <xf numFmtId="0" fontId="240" fillId="2" borderId="7" xfId="4" applyFont="1" applyFill="1" applyBorder="1"/>
    <xf numFmtId="0" fontId="220" fillId="0" borderId="0" xfId="0" applyFont="1" applyAlignment="1">
      <alignment horizontal="left" vertical="top"/>
    </xf>
    <xf numFmtId="0" fontId="220" fillId="0" borderId="65" xfId="0" applyFont="1" applyBorder="1" applyAlignment="1">
      <alignment horizontal="center" vertical="top"/>
    </xf>
    <xf numFmtId="0" fontId="220" fillId="0" borderId="66" xfId="0" applyFont="1" applyBorder="1" applyAlignment="1">
      <alignment horizontal="center" vertical="top"/>
    </xf>
    <xf numFmtId="1" fontId="220" fillId="0" borderId="0" xfId="0" applyNumberFormat="1" applyFont="1" applyAlignment="1">
      <alignment horizontal="right"/>
    </xf>
    <xf numFmtId="1" fontId="229" fillId="3" borderId="65" xfId="0" applyNumberFormat="1" applyFont="1" applyFill="1" applyBorder="1" applyAlignment="1">
      <alignment horizontal="center" vertical="center"/>
    </xf>
    <xf numFmtId="1" fontId="229" fillId="3" borderId="66" xfId="0" applyNumberFormat="1" applyFont="1" applyFill="1" applyBorder="1" applyAlignment="1">
      <alignment horizontal="center" vertical="center"/>
    </xf>
    <xf numFmtId="1" fontId="229" fillId="3" borderId="59" xfId="0" applyNumberFormat="1" applyFont="1" applyFill="1" applyBorder="1" applyAlignment="1">
      <alignment horizontal="center" vertical="center" wrapText="1"/>
    </xf>
    <xf numFmtId="1" fontId="229" fillId="3" borderId="61" xfId="0" applyNumberFormat="1" applyFont="1" applyFill="1" applyBorder="1" applyAlignment="1">
      <alignment horizontal="center" vertical="center" wrapText="1"/>
    </xf>
    <xf numFmtId="0" fontId="229" fillId="4" borderId="0" xfId="0" applyFont="1" applyFill="1" applyAlignment="1">
      <alignment horizontal="left" vertical="center" indent="1"/>
    </xf>
    <xf numFmtId="0" fontId="220" fillId="4" borderId="0" xfId="0" applyFont="1" applyFill="1"/>
    <xf numFmtId="0" fontId="220" fillId="4" borderId="0" xfId="0" applyFont="1" applyFill="1" applyAlignment="1">
      <alignment vertical="center"/>
    </xf>
    <xf numFmtId="0" fontId="221" fillId="5" borderId="0" xfId="2" applyNumberFormat="1" applyFont="1" applyFill="1" applyBorder="1" applyAlignment="1" applyProtection="1">
      <alignment horizontal="left" indent="1"/>
    </xf>
    <xf numFmtId="0" fontId="221" fillId="5" borderId="67" xfId="2" applyNumberFormat="1" applyFont="1" applyFill="1" applyBorder="1" applyAlignment="1" applyProtection="1">
      <alignment horizontal="center"/>
    </xf>
    <xf numFmtId="172" fontId="221" fillId="5" borderId="60" xfId="2" applyNumberFormat="1" applyFont="1" applyFill="1" applyBorder="1" applyProtection="1"/>
    <xf numFmtId="0" fontId="222" fillId="5" borderId="0" xfId="2" applyNumberFormat="1" applyFont="1" applyFill="1" applyBorder="1" applyAlignment="1" applyProtection="1">
      <alignment horizontal="left" indent="1"/>
    </xf>
    <xf numFmtId="172" fontId="222" fillId="5" borderId="60" xfId="2" applyNumberFormat="1" applyFont="1" applyFill="1" applyBorder="1" applyProtection="1"/>
    <xf numFmtId="0" fontId="227" fillId="0" borderId="0" xfId="0" applyFont="1"/>
    <xf numFmtId="0" fontId="222" fillId="0" borderId="0" xfId="2" applyNumberFormat="1" applyFont="1" applyFill="1" applyBorder="1" applyAlignment="1" applyProtection="1">
      <alignment horizontal="left" indent="1"/>
    </xf>
    <xf numFmtId="0" fontId="221" fillId="0" borderId="0" xfId="2" applyNumberFormat="1" applyFont="1" applyFill="1" applyBorder="1" applyAlignment="1" applyProtection="1">
      <alignment horizontal="center"/>
    </xf>
    <xf numFmtId="172" fontId="222" fillId="0" borderId="0" xfId="2" applyNumberFormat="1" applyFont="1" applyFill="1" applyBorder="1" applyProtection="1"/>
    <xf numFmtId="0" fontId="222" fillId="4" borderId="0" xfId="2" applyNumberFormat="1" applyFont="1" applyFill="1" applyBorder="1" applyAlignment="1" applyProtection="1">
      <alignment horizontal="left" indent="1"/>
    </xf>
    <xf numFmtId="0" fontId="221" fillId="4" borderId="0" xfId="2" applyNumberFormat="1" applyFont="1" applyFill="1" applyBorder="1" applyAlignment="1" applyProtection="1">
      <alignment horizontal="center"/>
    </xf>
    <xf numFmtId="172" fontId="222" fillId="4" borderId="0" xfId="2" applyNumberFormat="1" applyFont="1" applyFill="1" applyBorder="1" applyProtection="1"/>
    <xf numFmtId="172" fontId="229" fillId="4" borderId="0" xfId="0" applyNumberFormat="1" applyFont="1" applyFill="1"/>
    <xf numFmtId="0" fontId="221" fillId="6" borderId="0" xfId="2" applyNumberFormat="1" applyFont="1" applyFill="1" applyBorder="1" applyAlignment="1" applyProtection="1">
      <alignment horizontal="left" indent="1"/>
    </xf>
    <xf numFmtId="0" fontId="222" fillId="6" borderId="0" xfId="2" applyNumberFormat="1" applyFont="1" applyFill="1" applyBorder="1" applyAlignment="1" applyProtection="1">
      <alignment horizontal="left" indent="1"/>
    </xf>
    <xf numFmtId="1" fontId="220" fillId="0" borderId="67" xfId="0" applyNumberFormat="1" applyFont="1" applyBorder="1" applyAlignment="1">
      <alignment horizontal="center"/>
    </xf>
    <xf numFmtId="173" fontId="221" fillId="103" borderId="59" xfId="1" applyNumberFormat="1" applyFont="1" applyFill="1" applyBorder="1" applyProtection="1"/>
    <xf numFmtId="0" fontId="221" fillId="0" borderId="0" xfId="1" applyNumberFormat="1" applyFont="1" applyFill="1" applyBorder="1" applyAlignment="1" applyProtection="1">
      <alignment horizontal="left" indent="1"/>
    </xf>
    <xf numFmtId="173" fontId="222" fillId="103" borderId="59" xfId="1" applyNumberFormat="1" applyFont="1" applyFill="1" applyBorder="1" applyProtection="1"/>
    <xf numFmtId="1" fontId="220" fillId="0" borderId="0" xfId="0" applyNumberFormat="1" applyFont="1" applyAlignment="1">
      <alignment horizontal="center"/>
    </xf>
    <xf numFmtId="10" fontId="220" fillId="0" borderId="0" xfId="2" applyNumberFormat="1" applyFont="1"/>
    <xf numFmtId="0" fontId="220" fillId="0" borderId="56" xfId="0" applyFont="1" applyBorder="1"/>
    <xf numFmtId="0" fontId="220" fillId="0" borderId="6" xfId="0" applyFont="1" applyBorder="1"/>
    <xf numFmtId="0" fontId="9" fillId="3" borderId="53" xfId="0" applyFont="1" applyFill="1" applyBorder="1" applyAlignment="1">
      <alignment horizontal="left" vertical="center" wrapText="1"/>
    </xf>
    <xf numFmtId="0" fontId="9" fillId="3" borderId="53" xfId="0" applyFont="1" applyFill="1" applyBorder="1" applyAlignment="1">
      <alignment horizontal="center" vertical="center" wrapText="1"/>
    </xf>
    <xf numFmtId="0" fontId="219" fillId="0" borderId="53" xfId="0" applyFont="1" applyBorder="1" applyAlignment="1">
      <alignment vertical="center" wrapText="1"/>
    </xf>
    <xf numFmtId="0" fontId="109" fillId="0" borderId="53" xfId="42537" applyFill="1" applyBorder="1" applyAlignment="1">
      <alignment horizontal="left" vertical="center"/>
    </xf>
    <xf numFmtId="0" fontId="109" fillId="0" borderId="53" xfId="42537" applyFill="1" applyBorder="1" applyAlignment="1">
      <alignment horizontal="left" vertical="center" wrapText="1"/>
    </xf>
    <xf numFmtId="0" fontId="0" fillId="0" borderId="53" xfId="0" applyBorder="1" applyAlignment="1">
      <alignment vertical="center" wrapText="1"/>
    </xf>
    <xf numFmtId="0" fontId="0" fillId="0" borderId="53" xfId="0" applyBorder="1" applyAlignment="1">
      <alignment wrapText="1"/>
    </xf>
    <xf numFmtId="0" fontId="109" fillId="0" borderId="53" xfId="42537" applyBorder="1"/>
    <xf numFmtId="0" fontId="226" fillId="0" borderId="53" xfId="0" applyFont="1" applyBorder="1" applyAlignment="1">
      <alignment horizontal="center" vertical="center"/>
    </xf>
    <xf numFmtId="0" fontId="8" fillId="0" borderId="0" xfId="0" applyFont="1" applyAlignment="1">
      <alignment vertical="top" wrapText="1"/>
    </xf>
    <xf numFmtId="0" fontId="8" fillId="0" borderId="0" xfId="0" applyFont="1" applyAlignment="1">
      <alignment vertical="top"/>
    </xf>
    <xf numFmtId="0" fontId="218" fillId="0" borderId="53" xfId="0" applyFont="1" applyBorder="1" applyAlignment="1">
      <alignment horizontal="left" vertical="top" wrapText="1"/>
    </xf>
    <xf numFmtId="9" fontId="224" fillId="100" borderId="53" xfId="2" applyFont="1" applyFill="1" applyBorder="1" applyAlignment="1"/>
    <xf numFmtId="173" fontId="224" fillId="0" borderId="97" xfId="7" applyNumberFormat="1" applyFont="1" applyFill="1" applyBorder="1"/>
    <xf numFmtId="9" fontId="220" fillId="0" borderId="0" xfId="2" applyFont="1"/>
    <xf numFmtId="172" fontId="221" fillId="5" borderId="53" xfId="2" applyNumberFormat="1" applyFont="1" applyFill="1" applyBorder="1" applyProtection="1"/>
    <xf numFmtId="172" fontId="221" fillId="110" borderId="53" xfId="0" applyNumberFormat="1" applyFont="1" applyFill="1" applyBorder="1"/>
    <xf numFmtId="172" fontId="226" fillId="0" borderId="75" xfId="0" applyNumberFormat="1" applyFont="1" applyBorder="1" applyAlignment="1">
      <alignment vertical="center"/>
    </xf>
    <xf numFmtId="0" fontId="226" fillId="0" borderId="0" xfId="0" quotePrefix="1" applyFont="1"/>
    <xf numFmtId="172" fontId="229" fillId="0" borderId="105" xfId="0" applyNumberFormat="1" applyFont="1" applyBorder="1" applyAlignment="1">
      <alignment horizontal="center" vertical="center"/>
    </xf>
    <xf numFmtId="172" fontId="229" fillId="0" borderId="106" xfId="0" applyNumberFormat="1" applyFont="1" applyBorder="1" applyAlignment="1">
      <alignment horizontal="center" vertical="center"/>
    </xf>
    <xf numFmtId="172" fontId="229" fillId="0" borderId="109" xfId="0" applyNumberFormat="1" applyFont="1" applyBorder="1" applyAlignment="1">
      <alignment horizontal="center" vertical="center"/>
    </xf>
    <xf numFmtId="172" fontId="229" fillId="0" borderId="112" xfId="0" applyNumberFormat="1" applyFont="1" applyBorder="1" applyAlignment="1">
      <alignment horizontal="center" vertical="center"/>
    </xf>
    <xf numFmtId="172" fontId="229" fillId="0" borderId="107" xfId="0" applyNumberFormat="1" applyFont="1" applyBorder="1" applyAlignment="1">
      <alignment horizontal="center" vertical="center"/>
    </xf>
    <xf numFmtId="43" fontId="220" fillId="0" borderId="0" xfId="0" applyNumberFormat="1" applyFont="1"/>
    <xf numFmtId="0" fontId="224" fillId="0" borderId="119" xfId="0" applyFont="1" applyBorder="1"/>
    <xf numFmtId="0" fontId="226" fillId="0" borderId="100" xfId="0" applyFont="1" applyBorder="1" applyAlignment="1">
      <alignment horizontal="center" vertical="center" wrapText="1"/>
    </xf>
    <xf numFmtId="0" fontId="242" fillId="2" borderId="57" xfId="3" applyFont="1" applyFill="1" applyBorder="1" applyAlignment="1">
      <alignment horizontal="left"/>
    </xf>
    <xf numFmtId="0" fontId="242" fillId="2" borderId="48" xfId="3" applyFont="1" applyFill="1" applyBorder="1" applyAlignment="1">
      <alignment horizontal="left" indent="1"/>
    </xf>
    <xf numFmtId="0" fontId="242" fillId="2" borderId="48" xfId="3" applyFont="1" applyFill="1" applyBorder="1" applyAlignment="1">
      <alignment horizontal="left"/>
    </xf>
    <xf numFmtId="0" fontId="243" fillId="2" borderId="48" xfId="4" applyFont="1" applyFill="1" applyBorder="1"/>
    <xf numFmtId="0" fontId="244" fillId="2" borderId="58" xfId="4" applyFont="1" applyFill="1" applyBorder="1"/>
    <xf numFmtId="0" fontId="245" fillId="0" borderId="0" xfId="0" applyFont="1"/>
    <xf numFmtId="0" fontId="242" fillId="2" borderId="3" xfId="3" applyFont="1" applyFill="1" applyBorder="1" applyAlignment="1">
      <alignment horizontal="left"/>
    </xf>
    <xf numFmtId="0" fontId="242" fillId="2" borderId="0" xfId="3" applyFont="1" applyFill="1" applyAlignment="1">
      <alignment horizontal="left" indent="1"/>
    </xf>
    <xf numFmtId="0" fontId="242" fillId="2" borderId="0" xfId="3" applyFont="1" applyFill="1" applyAlignment="1">
      <alignment horizontal="left"/>
    </xf>
    <xf numFmtId="0" fontId="243" fillId="2" borderId="0" xfId="4" applyFont="1" applyFill="1"/>
    <xf numFmtId="0" fontId="243" fillId="2" borderId="67" xfId="4" applyFont="1" applyFill="1" applyBorder="1"/>
    <xf numFmtId="0" fontId="242" fillId="2" borderId="5" xfId="3" applyFont="1" applyFill="1" applyBorder="1" applyAlignment="1">
      <alignment horizontal="left"/>
    </xf>
    <xf numFmtId="0" fontId="242" fillId="2" borderId="6" xfId="3" applyFont="1" applyFill="1" applyBorder="1" applyAlignment="1">
      <alignment horizontal="left" indent="1"/>
    </xf>
    <xf numFmtId="0" fontId="242" fillId="2" borderId="6" xfId="3" applyFont="1" applyFill="1" applyBorder="1" applyAlignment="1">
      <alignment horizontal="left"/>
    </xf>
    <xf numFmtId="0" fontId="243" fillId="2" borderId="6" xfId="4" applyFont="1" applyFill="1" applyBorder="1"/>
    <xf numFmtId="0" fontId="243" fillId="2" borderId="7" xfId="4" applyFont="1" applyFill="1" applyBorder="1"/>
    <xf numFmtId="0" fontId="246" fillId="2" borderId="48" xfId="3" applyFont="1" applyFill="1" applyBorder="1" applyAlignment="1">
      <alignment horizontal="left" indent="1"/>
    </xf>
    <xf numFmtId="0" fontId="246" fillId="2" borderId="48" xfId="3" applyFont="1" applyFill="1" applyBorder="1" applyAlignment="1">
      <alignment horizontal="left"/>
    </xf>
    <xf numFmtId="0" fontId="247" fillId="2" borderId="48" xfId="4" applyFont="1" applyFill="1" applyBorder="1"/>
    <xf numFmtId="0" fontId="248" fillId="2" borderId="58" xfId="4" applyFont="1" applyFill="1" applyBorder="1"/>
    <xf numFmtId="0" fontId="249" fillId="0" borderId="0" xfId="0" applyFont="1"/>
    <xf numFmtId="0" fontId="246" fillId="2" borderId="0" xfId="3" applyFont="1" applyFill="1" applyAlignment="1">
      <alignment horizontal="left" indent="1"/>
    </xf>
    <xf numFmtId="0" fontId="246" fillId="2" borderId="0" xfId="3" applyFont="1" applyFill="1" applyAlignment="1">
      <alignment horizontal="left"/>
    </xf>
    <xf numFmtId="0" fontId="247" fillId="2" borderId="0" xfId="4" applyFont="1" applyFill="1"/>
    <xf numFmtId="0" fontId="247" fillId="2" borderId="67" xfId="4" applyFont="1" applyFill="1" applyBorder="1"/>
    <xf numFmtId="0" fontId="246" fillId="2" borderId="6" xfId="3" applyFont="1" applyFill="1" applyBorder="1" applyAlignment="1">
      <alignment horizontal="left" indent="1"/>
    </xf>
    <xf numFmtId="0" fontId="246" fillId="2" borderId="6" xfId="3" applyFont="1" applyFill="1" applyBorder="1" applyAlignment="1">
      <alignment horizontal="left"/>
    </xf>
    <xf numFmtId="0" fontId="247" fillId="2" borderId="6" xfId="4" applyFont="1" applyFill="1" applyBorder="1"/>
    <xf numFmtId="0" fontId="247" fillId="2" borderId="7" xfId="4" applyFont="1" applyFill="1" applyBorder="1"/>
    <xf numFmtId="0" fontId="218" fillId="0" borderId="0" xfId="0" quotePrefix="1" applyFont="1"/>
    <xf numFmtId="173" fontId="224" fillId="0" borderId="53" xfId="1" applyNumberFormat="1" applyFont="1" applyBorder="1"/>
    <xf numFmtId="0" fontId="226" fillId="0" borderId="0" xfId="0" applyFont="1" applyAlignment="1">
      <alignment horizontal="left" vertical="center" indent="1"/>
    </xf>
    <xf numFmtId="0" fontId="226" fillId="0" borderId="53" xfId="0" applyFont="1" applyBorder="1" applyAlignment="1">
      <alignment horizontal="center" vertical="center" wrapText="1"/>
    </xf>
    <xf numFmtId="0" fontId="224" fillId="0" borderId="0" xfId="0" applyFont="1" applyAlignment="1">
      <alignment horizontal="left" vertical="center" indent="1"/>
    </xf>
    <xf numFmtId="173" fontId="218" fillId="7" borderId="53" xfId="1" applyNumberFormat="1" applyFont="1" applyFill="1" applyBorder="1" applyProtection="1"/>
    <xf numFmtId="173" fontId="225" fillId="5" borderId="53" xfId="1" applyNumberFormat="1" applyFont="1" applyFill="1" applyBorder="1" applyProtection="1"/>
    <xf numFmtId="0" fontId="224" fillId="0" borderId="0" xfId="0" applyFont="1" applyAlignment="1">
      <alignment horizontal="left" vertical="center" wrapText="1" indent="1"/>
    </xf>
    <xf numFmtId="172" fontId="225" fillId="5" borderId="65" xfId="2" applyNumberFormat="1" applyFont="1" applyFill="1" applyBorder="1" applyProtection="1"/>
    <xf numFmtId="172" fontId="225" fillId="5" borderId="53" xfId="2" applyNumberFormat="1" applyFont="1" applyFill="1" applyBorder="1" applyProtection="1"/>
    <xf numFmtId="0" fontId="251" fillId="0" borderId="0" xfId="0" applyFont="1"/>
    <xf numFmtId="173" fontId="225" fillId="5" borderId="65" xfId="1" applyNumberFormat="1" applyFont="1" applyFill="1" applyBorder="1" applyProtection="1"/>
    <xf numFmtId="172" fontId="221" fillId="5" borderId="62" xfId="2" applyNumberFormat="1" applyFont="1" applyFill="1" applyBorder="1" applyProtection="1"/>
    <xf numFmtId="172" fontId="221" fillId="5" borderId="68" xfId="2" applyNumberFormat="1" applyFont="1" applyFill="1" applyBorder="1" applyProtection="1"/>
    <xf numFmtId="336" fontId="220" fillId="0" borderId="0" xfId="0" applyNumberFormat="1" applyFont="1"/>
    <xf numFmtId="309" fontId="220" fillId="0" borderId="0" xfId="2" applyNumberFormat="1" applyFont="1"/>
    <xf numFmtId="337" fontId="220" fillId="0" borderId="0" xfId="0" applyNumberFormat="1" applyFont="1"/>
    <xf numFmtId="169" fontId="220" fillId="0" borderId="0" xfId="0" applyNumberFormat="1" applyFont="1"/>
    <xf numFmtId="172" fontId="221" fillId="5" borderId="70" xfId="2" applyNumberFormat="1" applyFont="1" applyFill="1" applyBorder="1" applyProtection="1"/>
    <xf numFmtId="172" fontId="221" fillId="5" borderId="69" xfId="2" applyNumberFormat="1" applyFont="1" applyFill="1" applyBorder="1" applyProtection="1"/>
    <xf numFmtId="173" fontId="221" fillId="7" borderId="63" xfId="1" applyNumberFormat="1" applyFont="1" applyFill="1" applyBorder="1" applyProtection="1"/>
    <xf numFmtId="173" fontId="222" fillId="5" borderId="63" xfId="1" applyNumberFormat="1" applyFont="1" applyFill="1" applyBorder="1" applyProtection="1"/>
    <xf numFmtId="173" fontId="222" fillId="5" borderId="72" xfId="1" applyNumberFormat="1" applyFont="1" applyFill="1" applyBorder="1" applyProtection="1"/>
    <xf numFmtId="172" fontId="220" fillId="4" borderId="0" xfId="0" applyNumberFormat="1" applyFont="1" applyFill="1"/>
    <xf numFmtId="172" fontId="220" fillId="4" borderId="0" xfId="0" applyNumberFormat="1" applyFont="1" applyFill="1" applyAlignment="1">
      <alignment vertical="center"/>
    </xf>
    <xf numFmtId="172" fontId="220" fillId="0" borderId="0" xfId="0" applyNumberFormat="1" applyFont="1" applyAlignment="1">
      <alignment vertical="center"/>
    </xf>
    <xf numFmtId="0" fontId="109" fillId="0" borderId="0" xfId="42537" applyAlignment="1">
      <alignment horizontal="left" vertical="top" wrapText="1"/>
    </xf>
    <xf numFmtId="0" fontId="215" fillId="2" borderId="0" xfId="0" applyFont="1" applyFill="1" applyAlignment="1">
      <alignment horizontal="center" vertical="center" wrapText="1"/>
    </xf>
    <xf numFmtId="0" fontId="9" fillId="3" borderId="80"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225" fillId="0" borderId="53" xfId="0" applyFont="1" applyBorder="1" applyAlignment="1">
      <alignment horizontal="center" vertical="center" wrapText="1"/>
    </xf>
    <xf numFmtId="0" fontId="225" fillId="0" borderId="53" xfId="0" applyFont="1" applyBorder="1" applyAlignment="1">
      <alignment horizontal="center" vertical="center"/>
    </xf>
    <xf numFmtId="0" fontId="229" fillId="0" borderId="113" xfId="0" applyFont="1" applyBorder="1" applyAlignment="1">
      <alignment horizontal="center" vertical="center" wrapText="1"/>
    </xf>
    <xf numFmtId="0" fontId="229" fillId="0" borderId="114" xfId="0" applyFont="1" applyBorder="1" applyAlignment="1">
      <alignment horizontal="center" vertical="center" wrapText="1"/>
    </xf>
    <xf numFmtId="0" fontId="229" fillId="0" borderId="115" xfId="0" applyFont="1" applyBorder="1" applyAlignment="1">
      <alignment horizontal="center" vertical="center" wrapText="1"/>
    </xf>
    <xf numFmtId="0" fontId="229" fillId="0" borderId="101" xfId="0" applyFont="1" applyBorder="1" applyAlignment="1">
      <alignment horizontal="center" vertical="center" wrapText="1"/>
    </xf>
    <xf numFmtId="0" fontId="229" fillId="0" borderId="102" xfId="0" applyFont="1" applyBorder="1" applyAlignment="1">
      <alignment horizontal="center" vertical="center" wrapText="1"/>
    </xf>
    <xf numFmtId="0" fontId="229" fillId="0" borderId="108" xfId="0" applyFont="1" applyBorder="1" applyAlignment="1">
      <alignment horizontal="center" vertical="center" wrapText="1"/>
    </xf>
    <xf numFmtId="0" fontId="226" fillId="0" borderId="97" xfId="0" applyFont="1" applyBorder="1" applyAlignment="1">
      <alignment horizontal="center" vertical="center" wrapText="1"/>
    </xf>
    <xf numFmtId="0" fontId="226" fillId="0" borderId="98" xfId="0" applyFont="1" applyBorder="1" applyAlignment="1">
      <alignment horizontal="center" vertical="center" wrapText="1"/>
    </xf>
    <xf numFmtId="0" fontId="226" fillId="0" borderId="77" xfId="0" applyFont="1" applyBorder="1" applyAlignment="1">
      <alignment horizontal="center" vertical="center" wrapText="1"/>
    </xf>
    <xf numFmtId="9" fontId="224" fillId="100" borderId="48" xfId="2" applyFont="1" applyFill="1" applyBorder="1" applyAlignment="1">
      <alignment horizontal="center"/>
    </xf>
    <xf numFmtId="9" fontId="224" fillId="100" borderId="58" xfId="2" applyFont="1" applyFill="1" applyBorder="1" applyAlignment="1">
      <alignment horizontal="center"/>
    </xf>
    <xf numFmtId="9" fontId="224" fillId="100" borderId="54" xfId="2" applyFont="1" applyFill="1" applyBorder="1" applyAlignment="1">
      <alignment horizontal="center"/>
    </xf>
    <xf numFmtId="9" fontId="224" fillId="100" borderId="56" xfId="2" applyFont="1" applyFill="1" applyBorder="1" applyAlignment="1">
      <alignment horizontal="center"/>
    </xf>
    <xf numFmtId="9" fontId="224" fillId="100" borderId="55" xfId="2" applyFont="1" applyFill="1" applyBorder="1" applyAlignment="1">
      <alignment horizontal="center"/>
    </xf>
    <xf numFmtId="9" fontId="224" fillId="100" borderId="5" xfId="2" applyFont="1" applyFill="1" applyBorder="1" applyAlignment="1">
      <alignment horizontal="center"/>
    </xf>
    <xf numFmtId="9" fontId="224" fillId="100" borderId="6" xfId="2" applyFont="1" applyFill="1" applyBorder="1" applyAlignment="1">
      <alignment horizontal="center"/>
    </xf>
    <xf numFmtId="9" fontId="224" fillId="100" borderId="7" xfId="2" applyFont="1" applyFill="1" applyBorder="1" applyAlignment="1">
      <alignment horizontal="center"/>
    </xf>
    <xf numFmtId="0" fontId="226" fillId="0" borderId="75" xfId="0" applyFont="1" applyBorder="1" applyAlignment="1">
      <alignment horizontal="center" vertical="center"/>
    </xf>
    <xf numFmtId="0" fontId="226" fillId="0" borderId="77" xfId="0" applyFont="1" applyBorder="1" applyAlignment="1">
      <alignment horizontal="center" vertical="center"/>
    </xf>
    <xf numFmtId="0" fontId="226" fillId="0" borderId="54" xfId="0" applyFont="1" applyBorder="1" applyAlignment="1">
      <alignment horizontal="center" vertical="center" wrapText="1"/>
    </xf>
    <xf numFmtId="0" fontId="226" fillId="0" borderId="56" xfId="0" applyFont="1" applyBorder="1" applyAlignment="1">
      <alignment horizontal="center" vertical="center" wrapText="1"/>
    </xf>
    <xf numFmtId="0" fontId="226" fillId="0" borderId="55" xfId="0" applyFont="1" applyBorder="1" applyAlignment="1">
      <alignment horizontal="center" vertical="center" wrapText="1"/>
    </xf>
    <xf numFmtId="0" fontId="226" fillId="0" borderId="53" xfId="0" applyFont="1" applyBorder="1" applyAlignment="1">
      <alignment horizontal="center" vertical="center" wrapText="1"/>
    </xf>
    <xf numFmtId="0" fontId="237" fillId="0" borderId="3" xfId="0" applyFont="1" applyBorder="1"/>
    <xf numFmtId="0" fontId="237" fillId="0" borderId="0" xfId="0" applyFont="1"/>
    <xf numFmtId="0" fontId="237" fillId="0" borderId="96" xfId="0" applyFont="1" applyBorder="1"/>
    <xf numFmtId="0" fontId="237" fillId="0" borderId="0" xfId="0" applyFont="1" applyAlignment="1">
      <alignment horizontal="left" indent="1"/>
    </xf>
    <xf numFmtId="0" fontId="237" fillId="0" borderId="94" xfId="0" applyFont="1" applyBorder="1" applyAlignment="1">
      <alignment horizontal="left" indent="1"/>
    </xf>
    <xf numFmtId="0" fontId="237" fillId="0" borderId="95" xfId="0" applyFont="1" applyBorder="1" applyAlignment="1">
      <alignment horizontal="left" indent="1"/>
    </xf>
    <xf numFmtId="0" fontId="222" fillId="111" borderId="0" xfId="0" applyFont="1" applyFill="1" applyAlignment="1">
      <alignment horizontal="left" indent="1"/>
    </xf>
    <xf numFmtId="0" fontId="238" fillId="0" borderId="0" xfId="0" applyFont="1"/>
    <xf numFmtId="0" fontId="238" fillId="108" borderId="0" xfId="0" applyFont="1" applyFill="1"/>
    <xf numFmtId="0" fontId="237" fillId="108" borderId="0" xfId="0" applyFont="1" applyFill="1"/>
    <xf numFmtId="0" fontId="237" fillId="0" borderId="95" xfId="0" applyFont="1" applyBorder="1"/>
    <xf numFmtId="172" fontId="237" fillId="0" borderId="0" xfId="0" applyNumberFormat="1" applyFont="1" applyAlignment="1">
      <alignment vertical="center"/>
    </xf>
    <xf numFmtId="172" fontId="237" fillId="0" borderId="3" xfId="2" applyNumberFormat="1" applyFont="1" applyBorder="1" applyAlignment="1"/>
    <xf numFmtId="172" fontId="237" fillId="0" borderId="0" xfId="2" applyNumberFormat="1" applyFont="1" applyAlignment="1"/>
    <xf numFmtId="172" fontId="237" fillId="0" borderId="0" xfId="0" applyNumberFormat="1" applyFont="1"/>
    <xf numFmtId="172" fontId="237" fillId="108" borderId="0" xfId="0" applyNumberFormat="1" applyFont="1" applyFill="1" applyAlignment="1">
      <alignment vertical="center"/>
    </xf>
    <xf numFmtId="0" fontId="237" fillId="108" borderId="0" xfId="0" applyFont="1" applyFill="1" applyAlignment="1">
      <alignment vertical="center"/>
    </xf>
    <xf numFmtId="0" fontId="237" fillId="0" borderId="0" xfId="0" applyFont="1" applyAlignment="1">
      <alignment vertical="center"/>
    </xf>
    <xf numFmtId="0" fontId="237" fillId="106" borderId="48" xfId="0" applyFont="1" applyFill="1" applyBorder="1"/>
    <xf numFmtId="0" fontId="237" fillId="106" borderId="0" xfId="0" applyFont="1" applyFill="1"/>
    <xf numFmtId="0" fontId="237" fillId="106" borderId="6" xfId="0" applyFont="1" applyFill="1" applyBorder="1"/>
    <xf numFmtId="0" fontId="237" fillId="0" borderId="48" xfId="0" applyFont="1" applyBorder="1"/>
    <xf numFmtId="0" fontId="237" fillId="0" borderId="94" xfId="0" applyFont="1" applyBorder="1" applyAlignment="1">
      <alignment horizontal="left" vertical="top"/>
    </xf>
    <xf numFmtId="0" fontId="237" fillId="0" borderId="0" xfId="0" applyFont="1" applyAlignment="1">
      <alignment horizontal="left" vertical="top"/>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4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1" defaultTableStyle="TableStyleMedium2" defaultPivotStyle="PivotStyleLight16">
    <tableStyle name="Invisible" pivot="0" table="0" count="0" xr9:uid="{1D8AB8D5-C7C1-4B23-B669-B86494C887DD}"/>
  </tableStyles>
  <colors>
    <mruColors>
      <color rgb="FFFFFFCC"/>
      <color rgb="FFFF99FF"/>
      <color rgb="FFFF9900"/>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r>
              <a:rPr lang="en-US" b="1">
                <a:solidFill>
                  <a:sysClr val="windowText" lastClr="000000"/>
                </a:solidFill>
              </a:rPr>
              <a:t>Industry - Actual and Notional Gearing </a:t>
            </a:r>
          </a:p>
        </c:rich>
      </c:tx>
      <c:layout>
        <c:manualLayout>
          <c:xMode val="edge"/>
          <c:yMode val="edge"/>
          <c:x val="0.39572582862670952"/>
          <c:y val="3.9877516365481522E-2"/>
        </c:manualLayout>
      </c:layout>
      <c:overlay val="0"/>
      <c:spPr>
        <a:noFill/>
        <a:ln>
          <a:noFill/>
        </a:ln>
        <a:effectLst/>
      </c:spPr>
      <c:txPr>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794556874882077"/>
          <c:y val="0.17183221801885989"/>
          <c:w val="0.58195684658212798"/>
          <c:h val="0.60177652765427259"/>
        </c:manualLayout>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strRef>
              <c:f>'RAV-Gearing'!$C$12:$P$12</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'RAV-Gearing'!$C$13:$P$13</c:f>
              <c:numCache>
                <c:formatCode>0%</c:formatCode>
                <c:ptCount val="14"/>
                <c:pt idx="0">
                  <c:v>0.60132713208345689</c:v>
                </c:pt>
                <c:pt idx="1">
                  <c:v>0.62621339483047</c:v>
                </c:pt>
                <c:pt idx="2">
                  <c:v>0.6708739647940104</c:v>
                </c:pt>
                <c:pt idx="3" formatCode="0.0%">
                  <c:v>0.58311506972899274</c:v>
                </c:pt>
                <c:pt idx="4">
                  <c:v>0.51491197848351</c:v>
                </c:pt>
                <c:pt idx="5">
                  <c:v>0.54533708794298408</c:v>
                </c:pt>
                <c:pt idx="6">
                  <c:v>0.53148198461908447</c:v>
                </c:pt>
                <c:pt idx="7">
                  <c:v>0.51601859817113593</c:v>
                </c:pt>
                <c:pt idx="8">
                  <c:v>0.51867123884574373</c:v>
                </c:pt>
                <c:pt idx="9">
                  <c:v>0.50876250948039214</c:v>
                </c:pt>
                <c:pt idx="10">
                  <c:v>0.48810764793390465</c:v>
                </c:pt>
                <c:pt idx="11">
                  <c:v>0.5998208711588533</c:v>
                </c:pt>
                <c:pt idx="12">
                  <c:v>0.53031990247845118</c:v>
                </c:pt>
                <c:pt idx="13">
                  <c:v>0.55619778674300069</c:v>
                </c:pt>
              </c:numCache>
            </c:numRef>
          </c:val>
          <c:extLst>
            <c:ext xmlns:c16="http://schemas.microsoft.com/office/drawing/2014/chart" uri="{C3380CC4-5D6E-409C-BE32-E72D297353CC}">
              <c16:uniqueId val="{00000000-EA80-4874-9AD3-42B5F62F0053}"/>
            </c:ext>
          </c:extLst>
        </c:ser>
        <c:ser>
          <c:idx val="2"/>
          <c:order val="2"/>
          <c:tx>
            <c:strRef>
              <c:f>'RAV-Gearing'!$B$15</c:f>
              <c:strCache>
                <c:ptCount val="1"/>
                <c:pt idx="0">
                  <c:v>RIIO-2 average actual gearing</c:v>
                </c:pt>
              </c:strCache>
            </c:strRef>
          </c:tx>
          <c:spPr>
            <a:solidFill>
              <a:schemeClr val="accent3"/>
            </a:solidFill>
            <a:ln>
              <a:noFill/>
            </a:ln>
            <a:effectLst/>
          </c:spPr>
          <c:invertIfNegative val="0"/>
          <c:cat>
            <c:strRef>
              <c:f>'RAV-Gearing'!$C$12:$P$12</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'RAV-Gearing'!$C$15:$P$15</c:f>
              <c:numCache>
                <c:formatCode>0%</c:formatCode>
                <c:ptCount val="14"/>
                <c:pt idx="0">
                  <c:v>0.6043279838134199</c:v>
                </c:pt>
                <c:pt idx="1">
                  <c:v>0.63118432245246825</c:v>
                </c:pt>
                <c:pt idx="2">
                  <c:v>0.67072994247645246</c:v>
                </c:pt>
                <c:pt idx="3" formatCode="0.0%">
                  <c:v>0.57356871469300152</c:v>
                </c:pt>
                <c:pt idx="4">
                  <c:v>0.52445947306348584</c:v>
                </c:pt>
                <c:pt idx="5">
                  <c:v>0.54390588573623477</c:v>
                </c:pt>
                <c:pt idx="6">
                  <c:v>0.53903893680679371</c:v>
                </c:pt>
                <c:pt idx="7">
                  <c:v>0.52377347144980257</c:v>
                </c:pt>
                <c:pt idx="8">
                  <c:v>0.53824334780147498</c:v>
                </c:pt>
                <c:pt idx="9">
                  <c:v>0.57139952298787855</c:v>
                </c:pt>
                <c:pt idx="10">
                  <c:v>0.54926238819137574</c:v>
                </c:pt>
                <c:pt idx="11">
                  <c:v>0.59999929165431065</c:v>
                </c:pt>
                <c:pt idx="12">
                  <c:v>0.58615920258233556</c:v>
                </c:pt>
                <c:pt idx="13">
                  <c:v>0.58265130908194285</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strRef>
                    <c:extLst>
                      <c:ext uri="{02D57815-91ED-43cb-92C2-25804820EDAC}">
                        <c15:formulaRef>
                          <c15:sqref>'RAV-Gearing'!$C$12:$P$12</c15:sqref>
                        </c15:formulaRef>
                      </c:ext>
                    </c:extLst>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extLst>
                      <c:ext uri="{02D57815-91ED-43cb-92C2-25804820EDAC}">
                        <c15:formulaRef>
                          <c15:sqref>'RAV-Gearing'!$C$12:$P$12</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'RAV-Gearing'!$B$16</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'RAV-Gearing'!$C$11:$P$12</c:f>
              <c:multiLvlStrCache>
                <c:ptCount val="14"/>
                <c:lvl>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lvl>
                <c:lvl>
                  <c:pt idx="0">
                    <c:v>RIIO-GD2</c:v>
                  </c:pt>
                  <c:pt idx="4">
                    <c:v>RIIO-ET2</c:v>
                  </c:pt>
                  <c:pt idx="7">
                    <c:v>RIIO-GT2</c:v>
                  </c:pt>
                  <c:pt idx="8">
                    <c:v>RIIO-ED2</c:v>
                  </c:pt>
                </c:lvl>
              </c:multiLvlStrCache>
            </c:multiLvlStrRef>
          </c:xVal>
          <c:yVal>
            <c:numRef>
              <c:f>'RAV-Gearing'!$C$16:$P$16</c:f>
              <c:numCache>
                <c:formatCode>0%</c:formatCode>
                <c:ptCount val="14"/>
                <c:pt idx="0">
                  <c:v>0.6</c:v>
                </c:pt>
                <c:pt idx="1">
                  <c:v>0.6</c:v>
                </c:pt>
                <c:pt idx="2">
                  <c:v>0.6</c:v>
                </c:pt>
                <c:pt idx="3" formatCode="0.0%">
                  <c:v>0.6</c:v>
                </c:pt>
                <c:pt idx="4">
                  <c:v>0.55000000000000004</c:v>
                </c:pt>
                <c:pt idx="5">
                  <c:v>0.55000000000000004</c:v>
                </c:pt>
                <c:pt idx="6">
                  <c:v>0.55000000000000004</c:v>
                </c:pt>
                <c:pt idx="7">
                  <c:v>0.6</c:v>
                </c:pt>
                <c:pt idx="8">
                  <c:v>0.6</c:v>
                </c:pt>
                <c:pt idx="9">
                  <c:v>0.6</c:v>
                </c:pt>
                <c:pt idx="10">
                  <c:v>0.6</c:v>
                </c:pt>
                <c:pt idx="11">
                  <c:v>0.6</c:v>
                </c:pt>
                <c:pt idx="12">
                  <c:v>0.6</c:v>
                </c:pt>
                <c:pt idx="13">
                  <c:v>0.6</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76672"/>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legend>
    <c:plotVisOnly val="1"/>
    <c:dispBlanksAs val="zero"/>
    <c:showDLblsOverMax val="0"/>
  </c:chart>
  <c:spPr>
    <a:solidFill>
      <a:schemeClr val="bg1">
        <a:lumMod val="85000"/>
      </a:schemeClr>
    </a:solidFill>
    <a:ln w="19050" cap="flat" cmpd="sng" algn="ctr">
      <a:solidFill>
        <a:sysClr val="windowText" lastClr="000000"/>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RIIO-2 average industry asset value by company (£m, nominal)</a:t>
            </a:r>
          </a:p>
        </c:rich>
      </c:tx>
      <c:layout>
        <c:manualLayout>
          <c:xMode val="edge"/>
          <c:yMode val="edge"/>
          <c:x val="0.29673938500452385"/>
          <c:y val="4.761905952232459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538583409167536"/>
          <c:y val="0.2190476738026931"/>
          <c:w val="0.67876076076825809"/>
          <c:h val="0.58167718577107508"/>
        </c:manualLayout>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'RAV-Gearing'!$C$4:$P$5</c:f>
              <c:multiLvlStrCache>
                <c:ptCount val="14"/>
                <c:lvl>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lvl>
                <c:lvl>
                  <c:pt idx="0">
                    <c:v>RIIO-GD2</c:v>
                  </c:pt>
                  <c:pt idx="4">
                    <c:v>RIIO-ET2</c:v>
                  </c:pt>
                  <c:pt idx="7">
                    <c:v>RIIO-GT2</c:v>
                  </c:pt>
                  <c:pt idx="8">
                    <c:v>RIIO-ED2</c:v>
                  </c:pt>
                </c:lvl>
              </c:multiLvlStrCache>
            </c:multiLvlStrRef>
          </c:cat>
          <c:val>
            <c:numRef>
              <c:f>'RAV-Gearing'!$C$6:$P$6</c:f>
              <c:numCache>
                <c:formatCode>_(* #,##0.0_);_(* \(#,##0.0\);_(* "-"??_);_(@_)</c:formatCode>
                <c:ptCount val="14"/>
                <c:pt idx="0">
                  <c:v>5849.9945389889435</c:v>
                </c:pt>
                <c:pt idx="1">
                  <c:v>1362.1071327133848</c:v>
                </c:pt>
                <c:pt idx="2">
                  <c:v>3379.0963394963173</c:v>
                </c:pt>
                <c:pt idx="3">
                  <c:v>1350.5279039463942</c:v>
                </c:pt>
                <c:pt idx="4">
                  <c:v>8184.5851864233728</c:v>
                </c:pt>
                <c:pt idx="5">
                  <c:v>1532.1196117578947</c:v>
                </c:pt>
                <c:pt idx="6">
                  <c:v>2484.9167389297618</c:v>
                </c:pt>
                <c:pt idx="7">
                  <c:v>3403.3506791925911</c:v>
                </c:pt>
                <c:pt idx="8">
                  <c:v>1333.101381775615</c:v>
                </c:pt>
                <c:pt idx="9">
                  <c:v>5463.6936063583616</c:v>
                </c:pt>
                <c:pt idx="10">
                  <c:v>2257.573732715724</c:v>
                </c:pt>
                <c:pt idx="11">
                  <c:v>2668.8909115243982</c:v>
                </c:pt>
                <c:pt idx="12">
                  <c:v>2733.5107512250506</c:v>
                </c:pt>
                <c:pt idx="13">
                  <c:v>4054.3572580147206</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'RAV-Gearing'!$C$4:$P$5</c:f>
              <c:multiLvlStrCache>
                <c:ptCount val="14"/>
                <c:lvl>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lvl>
                <c:lvl>
                  <c:pt idx="0">
                    <c:v>RIIO-GD2</c:v>
                  </c:pt>
                  <c:pt idx="4">
                    <c:v>RIIO-ET2</c:v>
                  </c:pt>
                  <c:pt idx="7">
                    <c:v>RIIO-GT2</c:v>
                  </c:pt>
                  <c:pt idx="8">
                    <c:v>RIIO-ED2</c:v>
                  </c:pt>
                </c:lvl>
              </c:multiLvlStrCache>
            </c:multiLvlStrRef>
          </c:cat>
          <c:val>
            <c:numRef>
              <c:f>'RAV-Gearing'!$C$7:$P$7</c:f>
              <c:numCache>
                <c:formatCode>_(* #,##0.0_);_(* \(#,##0.0\);_(* "-"??_);_(@_)</c:formatCode>
                <c:ptCount val="14"/>
                <c:pt idx="0">
                  <c:v>3899.9963593259631</c:v>
                </c:pt>
                <c:pt idx="1">
                  <c:v>908.07142180892311</c:v>
                </c:pt>
                <c:pt idx="2">
                  <c:v>2252.7308929975452</c:v>
                </c:pt>
                <c:pt idx="3">
                  <c:v>900.35193596426291</c:v>
                </c:pt>
                <c:pt idx="4">
                  <c:v>6696.478788891849</c:v>
                </c:pt>
                <c:pt idx="5">
                  <c:v>1253.5524096200957</c:v>
                </c:pt>
                <c:pt idx="6">
                  <c:v>2033.1136954879864</c:v>
                </c:pt>
                <c:pt idx="7">
                  <c:v>2268.900452795061</c:v>
                </c:pt>
                <c:pt idx="8">
                  <c:v>888.73425451707658</c:v>
                </c:pt>
                <c:pt idx="9">
                  <c:v>3642.4624042389082</c:v>
                </c:pt>
                <c:pt idx="10">
                  <c:v>1505.0491551438163</c:v>
                </c:pt>
                <c:pt idx="11">
                  <c:v>1779.2606076829325</c:v>
                </c:pt>
                <c:pt idx="12">
                  <c:v>1822.3405008167006</c:v>
                </c:pt>
                <c:pt idx="13">
                  <c:v>2702.9048386764803</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6000"/>
          <c:min val="0"/>
        </c:scaling>
        <c:delete val="0"/>
        <c:axPos val="l"/>
        <c:majorGridlines>
          <c:spPr>
            <a:ln w="9525" cap="flat" cmpd="sng" algn="ctr">
              <a:solidFill>
                <a:schemeClr val="tx1">
                  <a:alpha val="16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06744"/>
        <c:crosses val="autoZero"/>
        <c:crossBetween val="between"/>
        <c:majorUnit val="2000"/>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RoRE by Licensee </a:t>
            </a:r>
            <a:endParaRPr lang="en-US" b="1" u="sng">
              <a:solidFill>
                <a:sysClr val="windowText" lastClr="000000"/>
              </a:solidFill>
            </a:endParaRPr>
          </a:p>
        </c:rich>
      </c:tx>
      <c:layout>
        <c:manualLayout>
          <c:xMode val="edge"/>
          <c:yMode val="edge"/>
          <c:x val="0.47244283669301956"/>
          <c:y val="4.250879271613068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121725446774452"/>
          <c:y val="0.17859453733124891"/>
          <c:w val="0.66808483110654437"/>
          <c:h val="0.59872314725499465"/>
        </c:manualLayout>
      </c:layout>
      <c:barChart>
        <c:barDir val="col"/>
        <c:grouping val="stacked"/>
        <c:varyColors val="0"/>
        <c:ser>
          <c:idx val="0"/>
          <c:order val="0"/>
          <c:tx>
            <c:strRef>
              <c:f>'RoRE position 2023-24'!$B$6</c:f>
              <c:strCache>
                <c:ptCount val="1"/>
                <c:pt idx="0">
                  <c:v>Allowed Equity Return + BPI</c:v>
                </c:pt>
              </c:strCache>
            </c:strRef>
          </c:tx>
          <c:spPr>
            <a:solidFill>
              <a:schemeClr val="accent1"/>
            </a:solidFill>
            <a:ln>
              <a:noFill/>
            </a:ln>
            <a:effectLst/>
          </c:spPr>
          <c:invertIfNegative val="0"/>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2023-24'!$C$6:$P$6</c:f>
              <c:numCache>
                <c:formatCode>0.0%</c:formatCode>
                <c:ptCount val="14"/>
                <c:pt idx="0">
                  <c:v>5.104171309148834E-2</c:v>
                </c:pt>
                <c:pt idx="1">
                  <c:v>5.2266063623966463E-2</c:v>
                </c:pt>
                <c:pt idx="2">
                  <c:v>5.0971447241777303E-2</c:v>
                </c:pt>
                <c:pt idx="3">
                  <c:v>5.1008533067995798E-2</c:v>
                </c:pt>
                <c:pt idx="4">
                  <c:v>4.58701394846295E-2</c:v>
                </c:pt>
                <c:pt idx="5">
                  <c:v>4.8783960476682063E-2</c:v>
                </c:pt>
                <c:pt idx="6">
                  <c:v>5.0568582014148968E-2</c:v>
                </c:pt>
                <c:pt idx="7">
                  <c:v>4.8981960052903437E-2</c:v>
                </c:pt>
                <c:pt idx="8">
                  <c:v>5.4987911130173033E-2</c:v>
                </c:pt>
                <c:pt idx="9">
                  <c:v>5.5220459855556084E-2</c:v>
                </c:pt>
                <c:pt idx="10">
                  <c:v>5.4975920557497795E-2</c:v>
                </c:pt>
                <c:pt idx="11">
                  <c:v>5.4973852162677944E-2</c:v>
                </c:pt>
                <c:pt idx="12">
                  <c:v>5.5388484748299667E-2</c:v>
                </c:pt>
                <c:pt idx="13">
                  <c:v>5.6847616985132063E-2</c:v>
                </c:pt>
              </c:numCache>
            </c:numRef>
          </c:val>
          <c:extLst>
            <c:ext xmlns:c16="http://schemas.microsoft.com/office/drawing/2014/chart" uri="{C3380CC4-5D6E-409C-BE32-E72D297353CC}">
              <c16:uniqueId val="{00000000-5E72-4AEB-B566-C583CF3A6FAF}"/>
            </c:ext>
          </c:extLst>
        </c:ser>
        <c:ser>
          <c:idx val="1"/>
          <c:order val="1"/>
          <c:tx>
            <c:strRef>
              <c:f>'RoRE position 2023-24'!$B$7</c:f>
              <c:strCache>
                <c:ptCount val="1"/>
                <c:pt idx="0">
                  <c:v>Operational performance - Totex</c:v>
                </c:pt>
              </c:strCache>
            </c:strRef>
          </c:tx>
          <c:spPr>
            <a:solidFill>
              <a:schemeClr val="accent2"/>
            </a:solidFill>
            <a:ln>
              <a:noFill/>
            </a:ln>
            <a:effectLst/>
          </c:spPr>
          <c:invertIfNegative val="0"/>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2023-24'!$C$7:$P$7</c:f>
              <c:numCache>
                <c:formatCode>0.0%</c:formatCode>
                <c:ptCount val="14"/>
                <c:pt idx="0">
                  <c:v>-8.6163068319041695E-3</c:v>
                </c:pt>
                <c:pt idx="1">
                  <c:v>5.8446710184799295E-3</c:v>
                </c:pt>
                <c:pt idx="2">
                  <c:v>-7.5273823786609507E-3</c:v>
                </c:pt>
                <c:pt idx="3">
                  <c:v>-1.0235890505418553E-2</c:v>
                </c:pt>
                <c:pt idx="4">
                  <c:v>1.2340567427235064E-2</c:v>
                </c:pt>
                <c:pt idx="5">
                  <c:v>0</c:v>
                </c:pt>
                <c:pt idx="6">
                  <c:v>5.5537211841843242E-3</c:v>
                </c:pt>
                <c:pt idx="7">
                  <c:v>8.3649235729465349E-4</c:v>
                </c:pt>
                <c:pt idx="8">
                  <c:v>2.0656132433816807E-3</c:v>
                </c:pt>
                <c:pt idx="9">
                  <c:v>5.7128550078502779E-3</c:v>
                </c:pt>
                <c:pt idx="10">
                  <c:v>1.2079138911819018E-6</c:v>
                </c:pt>
                <c:pt idx="11">
                  <c:v>0</c:v>
                </c:pt>
                <c:pt idx="12">
                  <c:v>1.7282894284112156E-3</c:v>
                </c:pt>
                <c:pt idx="13">
                  <c:v>1.2907482723182045E-2</c:v>
                </c:pt>
              </c:numCache>
            </c:numRef>
          </c:val>
          <c:extLst>
            <c:ext xmlns:c16="http://schemas.microsoft.com/office/drawing/2014/chart" uri="{C3380CC4-5D6E-409C-BE32-E72D297353CC}">
              <c16:uniqueId val="{00000001-5E72-4AEB-B566-C583CF3A6FAF}"/>
            </c:ext>
          </c:extLst>
        </c:ser>
        <c:ser>
          <c:idx val="2"/>
          <c:order val="2"/>
          <c:tx>
            <c:strRef>
              <c:f>'RoRE position 2023-24'!$B$8</c:f>
              <c:strCache>
                <c:ptCount val="1"/>
                <c:pt idx="0">
                  <c:v>Operational performance - other</c:v>
                </c:pt>
              </c:strCache>
            </c:strRef>
          </c:tx>
          <c:spPr>
            <a:solidFill>
              <a:schemeClr val="accent3"/>
            </a:solidFill>
            <a:ln>
              <a:noFill/>
            </a:ln>
            <a:effectLst/>
          </c:spPr>
          <c:invertIfNegative val="0"/>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2023-24'!$C$8:$P$8</c:f>
              <c:numCache>
                <c:formatCode>0.0%</c:formatCode>
                <c:ptCount val="14"/>
                <c:pt idx="0">
                  <c:v>7.6293646699585938E-4</c:v>
                </c:pt>
                <c:pt idx="1">
                  <c:v>1.1628417030869133E-3</c:v>
                </c:pt>
                <c:pt idx="2">
                  <c:v>-6.3152516759792802E-5</c:v>
                </c:pt>
                <c:pt idx="3">
                  <c:v>9.8033895850243419E-4</c:v>
                </c:pt>
                <c:pt idx="4">
                  <c:v>3.9102178601815494E-4</c:v>
                </c:pt>
                <c:pt idx="5">
                  <c:v>3.8745474479147187E-3</c:v>
                </c:pt>
                <c:pt idx="6">
                  <c:v>1.4770836907866333E-3</c:v>
                </c:pt>
                <c:pt idx="7">
                  <c:v>1.0057001474320512E-3</c:v>
                </c:pt>
                <c:pt idx="8">
                  <c:v>8.9722623438840531E-3</c:v>
                </c:pt>
                <c:pt idx="9">
                  <c:v>1.0793475211888916E-3</c:v>
                </c:pt>
                <c:pt idx="10">
                  <c:v>-1.3749584182888588E-3</c:v>
                </c:pt>
                <c:pt idx="11">
                  <c:v>5.7434902774209703E-3</c:v>
                </c:pt>
                <c:pt idx="12">
                  <c:v>1.9008105317147154E-3</c:v>
                </c:pt>
                <c:pt idx="13">
                  <c:v>8.9884392866148872E-3</c:v>
                </c:pt>
              </c:numCache>
            </c:numRef>
          </c:val>
          <c:extLst>
            <c:ext xmlns:c16="http://schemas.microsoft.com/office/drawing/2014/chart" uri="{C3380CC4-5D6E-409C-BE32-E72D297353CC}">
              <c16:uniqueId val="{00000002-5E72-4AEB-B566-C583CF3A6FAF}"/>
            </c:ext>
          </c:extLst>
        </c:ser>
        <c:ser>
          <c:idx val="4"/>
          <c:order val="4"/>
          <c:tx>
            <c:strRef>
              <c:f>'RoRE position 2023-24'!$B$10</c:f>
              <c:strCache>
                <c:ptCount val="1"/>
                <c:pt idx="0">
                  <c:v>Financing and tax performance</c:v>
                </c:pt>
              </c:strCache>
            </c:strRef>
          </c:tx>
          <c:spPr>
            <a:solidFill>
              <a:schemeClr val="accent5"/>
            </a:solidFill>
            <a:ln>
              <a:noFill/>
            </a:ln>
            <a:effectLst/>
          </c:spPr>
          <c:invertIfNegative val="0"/>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2023-24'!$C$10:$P$10</c:f>
              <c:numCache>
                <c:formatCode>0.0%</c:formatCode>
                <c:ptCount val="14"/>
                <c:pt idx="0">
                  <c:v>3.2764316110797186E-2</c:v>
                </c:pt>
                <c:pt idx="1">
                  <c:v>4.5895971840013101E-2</c:v>
                </c:pt>
                <c:pt idx="2">
                  <c:v>2.7034318602410509E-2</c:v>
                </c:pt>
                <c:pt idx="3">
                  <c:v>-2.3028145411063544E-2</c:v>
                </c:pt>
                <c:pt idx="4">
                  <c:v>2.5023816055502E-2</c:v>
                </c:pt>
                <c:pt idx="5">
                  <c:v>3.19823015511745E-2</c:v>
                </c:pt>
                <c:pt idx="6">
                  <c:v>2.7088613603414618E-2</c:v>
                </c:pt>
                <c:pt idx="7">
                  <c:v>7.4164106271945906E-3</c:v>
                </c:pt>
                <c:pt idx="8">
                  <c:v>1.3112084770237576E-3</c:v>
                </c:pt>
                <c:pt idx="9">
                  <c:v>1.7665513334802211E-2</c:v>
                </c:pt>
                <c:pt idx="10">
                  <c:v>2.9510728171567371E-2</c:v>
                </c:pt>
                <c:pt idx="11">
                  <c:v>1.8185247910685463E-2</c:v>
                </c:pt>
                <c:pt idx="12">
                  <c:v>1.9343521487100564E-2</c:v>
                </c:pt>
                <c:pt idx="13">
                  <c:v>2.0301755754196873E-2</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position 2023-24'!$B$9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2023-24'!$C$9:$P$9</c:f>
              <c:numCache>
                <c:formatCode>0.0%</c:formatCode>
                <c:ptCount val="14"/>
                <c:pt idx="0">
                  <c:v>4.318834272658003E-2</c:v>
                </c:pt>
                <c:pt idx="1">
                  <c:v>5.9273576345533305E-2</c:v>
                </c:pt>
                <c:pt idx="2">
                  <c:v>4.3380912346356562E-2</c:v>
                </c:pt>
                <c:pt idx="3">
                  <c:v>4.1752981521079681E-2</c:v>
                </c:pt>
                <c:pt idx="4">
                  <c:v>5.8601728697882716E-2</c:v>
                </c:pt>
                <c:pt idx="5">
                  <c:v>5.2658507924596781E-2</c:v>
                </c:pt>
                <c:pt idx="6">
                  <c:v>5.7599386889119926E-2</c:v>
                </c:pt>
                <c:pt idx="7">
                  <c:v>5.0824152557630141E-2</c:v>
                </c:pt>
                <c:pt idx="8">
                  <c:v>6.6025786717438764E-2</c:v>
                </c:pt>
                <c:pt idx="9">
                  <c:v>6.2012662384595255E-2</c:v>
                </c:pt>
                <c:pt idx="10">
                  <c:v>5.3602170053100119E-2</c:v>
                </c:pt>
                <c:pt idx="11">
                  <c:v>6.0717342440098916E-2</c:v>
                </c:pt>
                <c:pt idx="12">
                  <c:v>5.9017584708425601E-2</c:v>
                </c:pt>
                <c:pt idx="13">
                  <c:v>7.8743538994928988E-2</c:v>
                </c:pt>
              </c:numCache>
            </c:numRef>
          </c:val>
          <c:smooth val="0"/>
          <c:extLst>
            <c:ext xmlns:c16="http://schemas.microsoft.com/office/drawing/2014/chart" uri="{C3380CC4-5D6E-409C-BE32-E72D297353CC}">
              <c16:uniqueId val="{00000003-5E72-4AEB-B566-C583CF3A6FAF}"/>
            </c:ext>
          </c:extLst>
        </c:ser>
        <c:ser>
          <c:idx val="5"/>
          <c:order val="5"/>
          <c:tx>
            <c:strRef>
              <c:f>'RoRE position 2023-24'!$B$11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2023-24'!$C$11:$P$11</c:f>
              <c:numCache>
                <c:formatCode>0.0%</c:formatCode>
                <c:ptCount val="14"/>
                <c:pt idx="0">
                  <c:v>7.5952658837377215E-2</c:v>
                </c:pt>
                <c:pt idx="1">
                  <c:v>0.10516954818554641</c:v>
                </c:pt>
                <c:pt idx="2">
                  <c:v>7.0415230948767074E-2</c:v>
                </c:pt>
                <c:pt idx="3">
                  <c:v>1.8724836110016137E-2</c:v>
                </c:pt>
                <c:pt idx="4">
                  <c:v>8.3625544753384712E-2</c:v>
                </c:pt>
                <c:pt idx="5">
                  <c:v>8.4640809475771281E-2</c:v>
                </c:pt>
                <c:pt idx="6">
                  <c:v>8.468800049253454E-2</c:v>
                </c:pt>
                <c:pt idx="7">
                  <c:v>5.8240563184824734E-2</c:v>
                </c:pt>
                <c:pt idx="8">
                  <c:v>6.7336995194462526E-2</c:v>
                </c:pt>
                <c:pt idx="9">
                  <c:v>7.9678175719397462E-2</c:v>
                </c:pt>
                <c:pt idx="10">
                  <c:v>8.3112898224667497E-2</c:v>
                </c:pt>
                <c:pt idx="11">
                  <c:v>7.8902590350784382E-2</c:v>
                </c:pt>
                <c:pt idx="12">
                  <c:v>7.8361106195526165E-2</c:v>
                </c:pt>
                <c:pt idx="13">
                  <c:v>9.9045294749125865E-2</c:v>
                </c:pt>
              </c:numCache>
            </c:numRef>
          </c:val>
          <c:smooth val="0"/>
          <c:extLst>
            <c:ext xmlns:c16="http://schemas.microsoft.com/office/drawing/2014/chart" uri="{C3380CC4-5D6E-409C-BE32-E72D297353CC}">
              <c16:uniqueId val="{00000001-791C-474D-9542-33B824AD47C3}"/>
            </c:ext>
          </c:extLst>
        </c:ser>
        <c:ser>
          <c:idx val="7"/>
          <c:order val="7"/>
          <c:tx>
            <c:strRef>
              <c:f>'RoRE position 2023-24'!$B$13</c:f>
              <c:strCache>
                <c:ptCount val="1"/>
                <c:pt idx="0">
                  <c:v>Totex out(under) performance (allowance vs actual/forecast spend) - RIIO-2 period</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'RoRE position 2023-24'!$C$5:$P$5</c:f>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f>'RoRE position 2023-24'!$C$13:$P$13</c:f>
              <c:numCache>
                <c:formatCode>0.0%</c:formatCode>
                <c:ptCount val="14"/>
                <c:pt idx="0">
                  <c:v>-6.6157923337764102E-2</c:v>
                </c:pt>
                <c:pt idx="1">
                  <c:v>4.3161838927510444E-2</c:v>
                </c:pt>
                <c:pt idx="2">
                  <c:v>-6.0578946530580241E-2</c:v>
                </c:pt>
                <c:pt idx="3">
                  <c:v>-7.2487107516180802E-2</c:v>
                </c:pt>
                <c:pt idx="4">
                  <c:v>0.11047178627864672</c:v>
                </c:pt>
                <c:pt idx="5">
                  <c:v>0</c:v>
                </c:pt>
                <c:pt idx="6">
                  <c:v>2.2154218424283882E-2</c:v>
                </c:pt>
                <c:pt idx="7">
                  <c:v>1.1455030493176074E-2</c:v>
                </c:pt>
                <c:pt idx="8">
                  <c:v>9.6439632589790363E-3</c:v>
                </c:pt>
                <c:pt idx="9">
                  <c:v>3.6016355172237384E-2</c:v>
                </c:pt>
                <c:pt idx="10">
                  <c:v>6.433194567530052E-6</c:v>
                </c:pt>
                <c:pt idx="11">
                  <c:v>0</c:v>
                </c:pt>
                <c:pt idx="12">
                  <c:v>7.4513857043888828E-3</c:v>
                </c:pt>
                <c:pt idx="13">
                  <c:v>7.0834516468556485E-2</c:v>
                </c:pt>
              </c:numCache>
            </c:numRef>
          </c:val>
          <c:smooth val="0"/>
          <c:extLst>
            <c:ext xmlns:c16="http://schemas.microsoft.com/office/drawing/2014/chart" uri="{C3380CC4-5D6E-409C-BE32-E72D297353CC}">
              <c16:uniqueId val="{00000000-E146-49C9-B080-CE5AC5DEB534}"/>
            </c:ext>
          </c:extLst>
        </c:ser>
        <c:dLbls>
          <c:showLegendKey val="0"/>
          <c:showVal val="0"/>
          <c:showCatName val="0"/>
          <c:showSerName val="0"/>
          <c:showPercent val="0"/>
          <c:showBubbleSize val="0"/>
        </c:dLbls>
        <c:marker val="1"/>
        <c:smooth val="0"/>
        <c:axId val="1965004160"/>
        <c:axId val="1964990848"/>
        <c:extLst>
          <c:ext xmlns:c15="http://schemas.microsoft.com/office/drawing/2012/chart" uri="{02D57815-91ED-43cb-92C2-25804820EDAC}">
            <c15:filteredLineSeries>
              <c15:ser>
                <c:idx val="6"/>
                <c:order val="6"/>
                <c:tx>
                  <c:strRef>
                    <c:extLst>
                      <c:ext uri="{02D57815-91ED-43cb-92C2-25804820EDAC}">
                        <c15:formulaRef>
                          <c15:sqref>'RoRE position 2023-24'!$B$12</c15:sqref>
                        </c15:formulaRef>
                      </c:ext>
                    </c:extLst>
                    <c:strCache>
                      <c:ptCount val="1"/>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uri="{02D57815-91ED-43cb-92C2-25804820EDAC}">
                        <c15:formulaRef>
                          <c15:sqref>'RoRE position 2023-24'!$C$5:$P$5</c15:sqref>
                        </c15:formulaRef>
                      </c:ext>
                    </c:extLst>
                    <c:strCache>
                      <c:ptCount val="14"/>
                      <c:pt idx="0">
                        <c:v>Cadent</c:v>
                      </c:pt>
                      <c:pt idx="1">
                        <c:v>NGN</c:v>
                      </c:pt>
                      <c:pt idx="2">
                        <c:v>SGN</c:v>
                      </c:pt>
                      <c:pt idx="3">
                        <c:v>WWU</c:v>
                      </c:pt>
                      <c:pt idx="4">
                        <c:v>NGET (TO)</c:v>
                      </c:pt>
                      <c:pt idx="5">
                        <c:v>SPT</c:v>
                      </c:pt>
                      <c:pt idx="6">
                        <c:v>SHET</c:v>
                      </c:pt>
                      <c:pt idx="7">
                        <c:v>NGGT (TO)</c:v>
                      </c:pt>
                      <c:pt idx="8">
                        <c:v>ENWL</c:v>
                      </c:pt>
                      <c:pt idx="9">
                        <c:v>NGED</c:v>
                      </c:pt>
                      <c:pt idx="10">
                        <c:v>NPg</c:v>
                      </c:pt>
                      <c:pt idx="11">
                        <c:v>SPEN</c:v>
                      </c:pt>
                      <c:pt idx="12">
                        <c:v>SSE</c:v>
                      </c:pt>
                      <c:pt idx="13">
                        <c:v>UKPN</c:v>
                      </c:pt>
                    </c:strCache>
                  </c:strRef>
                </c:cat>
                <c:val>
                  <c:numRef>
                    <c:extLst>
                      <c:ext uri="{02D57815-91ED-43cb-92C2-25804820EDAC}">
                        <c15:formulaRef>
                          <c15:sqref>'RoRE position 2023-24'!$C$12:$P$12</c15:sqref>
                        </c15:formulaRef>
                      </c:ext>
                    </c:extLst>
                    <c:numCache>
                      <c:formatCode>0.0%</c:formatCode>
                      <c:ptCount val="14"/>
                    </c:numCache>
                  </c:numRef>
                </c:val>
                <c:smooth val="0"/>
                <c:extLst>
                  <c:ext xmlns:c16="http://schemas.microsoft.com/office/drawing/2014/chart" uri="{C3380CC4-5D6E-409C-BE32-E72D297353CC}">
                    <c16:uniqueId val="{00000000-890E-441B-B83A-F512C9C6A32D}"/>
                  </c:ext>
                </c:extLst>
              </c15:ser>
            </c15:filteredLineSeries>
          </c:ext>
        </c:extLst>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25"/>
          <c:min val="-0.1"/>
        </c:scaling>
        <c:delete val="0"/>
        <c:axPos val="l"/>
        <c:majorGridlines>
          <c:spPr>
            <a:ln w="9525" cap="flat" cmpd="sng" algn="ctr">
              <a:solidFill>
                <a:schemeClr val="tx1">
                  <a:alpha val="18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l"/>
      <c:layout>
        <c:manualLayout>
          <c:xMode val="edge"/>
          <c:yMode val="edge"/>
          <c:x val="9.5530525387801275E-3"/>
          <c:y val="0.27661426081091739"/>
          <c:w val="0.29172569807423493"/>
          <c:h val="0.485251917357943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solidFill>
                  <a:sysClr val="windowText" lastClr="000000"/>
                </a:solidFill>
              </a:rPr>
              <a:t>GD2  RoRE by Licensee  </a:t>
            </a:r>
            <a:endParaRPr lang="en-US" sz="1400" b="1" u="sng">
              <a:solidFill>
                <a:sysClr val="windowText" lastClr="000000"/>
              </a:solidFill>
            </a:endParaRPr>
          </a:p>
        </c:rich>
      </c:tx>
      <c:layout>
        <c:manualLayout>
          <c:xMode val="edge"/>
          <c:yMode val="edge"/>
          <c:x val="0.45148502830534631"/>
          <c:y val="3.686718703143607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2023-24'!$B$36</c:f>
              <c:strCache>
                <c:ptCount val="1"/>
                <c:pt idx="0">
                  <c:v>RoRE - Operational performance</c:v>
                </c:pt>
              </c:strCache>
            </c:strRef>
          </c:tx>
          <c:spPr>
            <a:solidFill>
              <a:schemeClr val="accent1"/>
            </a:solidFill>
            <a:ln>
              <a:noFill/>
            </a:ln>
            <a:effectLst/>
          </c:spPr>
          <c:invertIfNegative val="0"/>
          <c:cat>
            <c:strRef>
              <c:f>'RoRE position 2023-24'!$C$17:$F$17</c:f>
              <c:strCache>
                <c:ptCount val="4"/>
                <c:pt idx="0">
                  <c:v>Cadent</c:v>
                </c:pt>
                <c:pt idx="1">
                  <c:v>NGN</c:v>
                </c:pt>
                <c:pt idx="2">
                  <c:v>SGN</c:v>
                </c:pt>
                <c:pt idx="3">
                  <c:v>WWU</c:v>
                </c:pt>
              </c:strCache>
            </c:strRef>
          </c:cat>
          <c:val>
            <c:numRef>
              <c:f>'RoRE position 2023-24'!$C$36:$F$36</c:f>
              <c:numCache>
                <c:formatCode>0.0%</c:formatCode>
                <c:ptCount val="4"/>
                <c:pt idx="0">
                  <c:v>4.318834272658003E-2</c:v>
                </c:pt>
                <c:pt idx="1">
                  <c:v>5.9273576345533312E-2</c:v>
                </c:pt>
                <c:pt idx="2">
                  <c:v>4.3380912346356555E-2</c:v>
                </c:pt>
                <c:pt idx="3">
                  <c:v>4.1752981521079674E-2</c:v>
                </c:pt>
              </c:numCache>
            </c:numRef>
          </c:val>
          <c:extLst>
            <c:ext xmlns:c16="http://schemas.microsoft.com/office/drawing/2014/chart" uri="{C3380CC4-5D6E-409C-BE32-E72D297353CC}">
              <c16:uniqueId val="{00000000-0153-4A4D-8333-3249311136A0}"/>
            </c:ext>
          </c:extLst>
        </c:ser>
        <c:ser>
          <c:idx val="1"/>
          <c:order val="1"/>
          <c:tx>
            <c:strRef>
              <c:f>'RoRE position 2023-24'!$B$37</c:f>
              <c:strCache>
                <c:ptCount val="1"/>
                <c:pt idx="0">
                  <c:v>Debt performance - at notional gearing</c:v>
                </c:pt>
              </c:strCache>
            </c:strRef>
          </c:tx>
          <c:spPr>
            <a:solidFill>
              <a:schemeClr val="accent2"/>
            </a:solidFill>
            <a:ln>
              <a:noFill/>
            </a:ln>
            <a:effectLst/>
          </c:spPr>
          <c:invertIfNegative val="0"/>
          <c:cat>
            <c:strRef>
              <c:f>'RoRE position 2023-24'!$C$17:$F$17</c:f>
              <c:strCache>
                <c:ptCount val="4"/>
                <c:pt idx="0">
                  <c:v>Cadent</c:v>
                </c:pt>
                <c:pt idx="1">
                  <c:v>NGN</c:v>
                </c:pt>
                <c:pt idx="2">
                  <c:v>SGN</c:v>
                </c:pt>
                <c:pt idx="3">
                  <c:v>WWU</c:v>
                </c:pt>
              </c:strCache>
            </c:strRef>
          </c:cat>
          <c:val>
            <c:numRef>
              <c:f>'RoRE position 2023-24'!$C$37:$F$37</c:f>
              <c:numCache>
                <c:formatCode>0.0%</c:formatCode>
                <c:ptCount val="4"/>
                <c:pt idx="0">
                  <c:v>3.0055576969816408E-2</c:v>
                </c:pt>
                <c:pt idx="1">
                  <c:v>4.568035761885246E-2</c:v>
                </c:pt>
                <c:pt idx="2">
                  <c:v>2.5094637929624637E-2</c:v>
                </c:pt>
                <c:pt idx="3">
                  <c:v>-3.8615962688810603E-2</c:v>
                </c:pt>
              </c:numCache>
            </c:numRef>
          </c:val>
          <c:extLst>
            <c:ext xmlns:c16="http://schemas.microsoft.com/office/drawing/2014/chart" uri="{C3380CC4-5D6E-409C-BE32-E72D297353CC}">
              <c16:uniqueId val="{00000001-0153-4A4D-8333-3249311136A0}"/>
            </c:ext>
          </c:extLst>
        </c:ser>
        <c:ser>
          <c:idx val="2"/>
          <c:order val="2"/>
          <c:tx>
            <c:strRef>
              <c:f>'RoRE position 2023-24'!$B$38</c:f>
              <c:strCache>
                <c:ptCount val="1"/>
                <c:pt idx="0">
                  <c:v>Tax performance - at notional gearing</c:v>
                </c:pt>
              </c:strCache>
            </c:strRef>
          </c:tx>
          <c:spPr>
            <a:solidFill>
              <a:schemeClr val="accent3"/>
            </a:solidFill>
            <a:ln>
              <a:noFill/>
            </a:ln>
            <a:effectLst/>
          </c:spPr>
          <c:invertIfNegative val="0"/>
          <c:cat>
            <c:strRef>
              <c:f>'RoRE position 2023-24'!$C$17:$F$17</c:f>
              <c:strCache>
                <c:ptCount val="4"/>
                <c:pt idx="0">
                  <c:v>Cadent</c:v>
                </c:pt>
                <c:pt idx="1">
                  <c:v>NGN</c:v>
                </c:pt>
                <c:pt idx="2">
                  <c:v>SGN</c:v>
                </c:pt>
                <c:pt idx="3">
                  <c:v>WWU</c:v>
                </c:pt>
              </c:strCache>
            </c:strRef>
          </c:cat>
          <c:val>
            <c:numRef>
              <c:f>'RoRE position 2023-24'!$C$38:$F$38</c:f>
              <c:numCache>
                <c:formatCode>0.0%</c:formatCode>
                <c:ptCount val="4"/>
                <c:pt idx="0">
                  <c:v>2.7087391409807778E-3</c:v>
                </c:pt>
                <c:pt idx="1">
                  <c:v>2.1561422116063929E-4</c:v>
                </c:pt>
                <c:pt idx="2">
                  <c:v>1.9396806727858718E-3</c:v>
                </c:pt>
                <c:pt idx="3">
                  <c:v>1.5587817277747058E-2</c:v>
                </c:pt>
              </c:numCache>
            </c:numRef>
          </c:val>
          <c:extLst>
            <c:ext xmlns:c16="http://schemas.microsoft.com/office/drawing/2014/chart" uri="{C3380CC4-5D6E-409C-BE32-E72D297353CC}">
              <c16:uniqueId val="{00000002-0153-4A4D-8333-3249311136A0}"/>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2023-24'!$B$39</c:f>
              <c:strCache>
                <c:ptCount val="1"/>
                <c:pt idx="0">
                  <c:v>RoRE - including financing and tax</c:v>
                </c:pt>
              </c:strCache>
            </c:strRef>
          </c:tx>
          <c:spPr>
            <a:ln w="28575" cap="rnd">
              <a:solidFill>
                <a:schemeClr val="accent4"/>
              </a:solidFill>
              <a:round/>
            </a:ln>
            <a:effectLst/>
          </c:spPr>
          <c:marker>
            <c:symbol val="none"/>
          </c:marker>
          <c:cat>
            <c:strRef>
              <c:f>'RoRE position 2023-24'!$C$17:$F$17</c:f>
              <c:strCache>
                <c:ptCount val="4"/>
                <c:pt idx="0">
                  <c:v>Cadent</c:v>
                </c:pt>
                <c:pt idx="1">
                  <c:v>NGN</c:v>
                </c:pt>
                <c:pt idx="2">
                  <c:v>SGN</c:v>
                </c:pt>
                <c:pt idx="3">
                  <c:v>WWU</c:v>
                </c:pt>
              </c:strCache>
            </c:strRef>
          </c:cat>
          <c:val>
            <c:numRef>
              <c:f>'RoRE position 2023-24'!$C$39:$F$39</c:f>
              <c:numCache>
                <c:formatCode>0.0%</c:formatCode>
                <c:ptCount val="4"/>
                <c:pt idx="0">
                  <c:v>7.5952658837377215E-2</c:v>
                </c:pt>
                <c:pt idx="1">
                  <c:v>0.1051695481855464</c:v>
                </c:pt>
                <c:pt idx="2">
                  <c:v>7.041523094876706E-2</c:v>
                </c:pt>
                <c:pt idx="3">
                  <c:v>1.872483611001613E-2</c:v>
                </c:pt>
              </c:numCache>
            </c:numRef>
          </c:val>
          <c:smooth val="0"/>
          <c:extLst>
            <c:ext xmlns:c16="http://schemas.microsoft.com/office/drawing/2014/chart" uri="{C3380CC4-5D6E-409C-BE32-E72D297353CC}">
              <c16:uniqueId val="{00000003-0153-4A4D-8333-3249311136A0}"/>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solidFill>
                  <a:sysClr val="windowText" lastClr="000000"/>
                </a:solidFill>
              </a:rPr>
              <a:t>ET2  RoRE by Licensee </a:t>
            </a:r>
            <a:endParaRPr lang="en-US" sz="1400" b="1" u="sng">
              <a:solidFill>
                <a:sysClr val="windowText" lastClr="000000"/>
              </a:solidFill>
            </a:endParaRPr>
          </a:p>
        </c:rich>
      </c:tx>
      <c:layout>
        <c:manualLayout>
          <c:xMode val="edge"/>
          <c:yMode val="edge"/>
          <c:x val="0.45533460946911375"/>
          <c:y val="3.1758702293360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2023-24'!$B$62</c:f>
              <c:strCache>
                <c:ptCount val="1"/>
                <c:pt idx="0">
                  <c:v>RoRE - Operational performance</c:v>
                </c:pt>
              </c:strCache>
            </c:strRef>
          </c:tx>
          <c:spPr>
            <a:solidFill>
              <a:schemeClr val="accent1"/>
            </a:solidFill>
            <a:ln>
              <a:noFill/>
            </a:ln>
            <a:effectLst/>
          </c:spPr>
          <c:invertIfNegative val="0"/>
          <c:cat>
            <c:strRef>
              <c:f>'RoRE position 2023-24'!$C$43:$E$43</c:f>
              <c:strCache>
                <c:ptCount val="3"/>
                <c:pt idx="0">
                  <c:v>NGET (TO)</c:v>
                </c:pt>
                <c:pt idx="1">
                  <c:v>SPT</c:v>
                </c:pt>
                <c:pt idx="2">
                  <c:v>SHET</c:v>
                </c:pt>
              </c:strCache>
            </c:strRef>
          </c:cat>
          <c:val>
            <c:numRef>
              <c:f>'RoRE position 2023-24'!$C$62:$E$62</c:f>
              <c:numCache>
                <c:formatCode>0.0%</c:formatCode>
                <c:ptCount val="3"/>
                <c:pt idx="0">
                  <c:v>5.8601728697882736E-2</c:v>
                </c:pt>
                <c:pt idx="1">
                  <c:v>5.2658507924596774E-2</c:v>
                </c:pt>
                <c:pt idx="2">
                  <c:v>5.7599386889119926E-2</c:v>
                </c:pt>
              </c:numCache>
            </c:numRef>
          </c:val>
          <c:extLst>
            <c:ext xmlns:c16="http://schemas.microsoft.com/office/drawing/2014/chart" uri="{C3380CC4-5D6E-409C-BE32-E72D297353CC}">
              <c16:uniqueId val="{00000000-901B-43E1-A2B2-5CCF3A82E3FC}"/>
            </c:ext>
          </c:extLst>
        </c:ser>
        <c:ser>
          <c:idx val="1"/>
          <c:order val="1"/>
          <c:tx>
            <c:strRef>
              <c:f>'RoRE position 2023-24'!$B$63</c:f>
              <c:strCache>
                <c:ptCount val="1"/>
                <c:pt idx="0">
                  <c:v>Debt performance - at notional gearing</c:v>
                </c:pt>
              </c:strCache>
            </c:strRef>
          </c:tx>
          <c:spPr>
            <a:solidFill>
              <a:schemeClr val="accent2"/>
            </a:solidFill>
            <a:ln>
              <a:noFill/>
            </a:ln>
            <a:effectLst/>
          </c:spPr>
          <c:invertIfNegative val="0"/>
          <c:cat>
            <c:strRef>
              <c:f>'RoRE position 2023-24'!$C$43:$E$43</c:f>
              <c:strCache>
                <c:ptCount val="3"/>
                <c:pt idx="0">
                  <c:v>NGET (TO)</c:v>
                </c:pt>
                <c:pt idx="1">
                  <c:v>SPT</c:v>
                </c:pt>
                <c:pt idx="2">
                  <c:v>SHET</c:v>
                </c:pt>
              </c:strCache>
            </c:strRef>
          </c:cat>
          <c:val>
            <c:numRef>
              <c:f>'RoRE position 2023-24'!$C$63:$E$63</c:f>
              <c:numCache>
                <c:formatCode>0.0%</c:formatCode>
                <c:ptCount val="3"/>
                <c:pt idx="0">
                  <c:v>2.458595633918962E-2</c:v>
                </c:pt>
                <c:pt idx="1">
                  <c:v>3.1647346709580471E-2</c:v>
                </c:pt>
                <c:pt idx="2">
                  <c:v>2.9853484689696973E-2</c:v>
                </c:pt>
              </c:numCache>
            </c:numRef>
          </c:val>
          <c:extLst>
            <c:ext xmlns:c16="http://schemas.microsoft.com/office/drawing/2014/chart" uri="{C3380CC4-5D6E-409C-BE32-E72D297353CC}">
              <c16:uniqueId val="{00000004-901B-43E1-A2B2-5CCF3A82E3FC}"/>
            </c:ext>
          </c:extLst>
        </c:ser>
        <c:ser>
          <c:idx val="2"/>
          <c:order val="2"/>
          <c:tx>
            <c:strRef>
              <c:f>'RoRE position 2023-24'!$B$64</c:f>
              <c:strCache>
                <c:ptCount val="1"/>
                <c:pt idx="0">
                  <c:v>Tax performance - at notional gearing</c:v>
                </c:pt>
              </c:strCache>
            </c:strRef>
          </c:tx>
          <c:spPr>
            <a:solidFill>
              <a:schemeClr val="accent3"/>
            </a:solidFill>
            <a:ln>
              <a:noFill/>
            </a:ln>
            <a:effectLst/>
          </c:spPr>
          <c:invertIfNegative val="0"/>
          <c:cat>
            <c:strRef>
              <c:f>'RoRE position 2023-24'!$C$43:$E$43</c:f>
              <c:strCache>
                <c:ptCount val="3"/>
                <c:pt idx="0">
                  <c:v>NGET (TO)</c:v>
                </c:pt>
                <c:pt idx="1">
                  <c:v>SPT</c:v>
                </c:pt>
                <c:pt idx="2">
                  <c:v>SHET</c:v>
                </c:pt>
              </c:strCache>
            </c:strRef>
          </c:cat>
          <c:val>
            <c:numRef>
              <c:f>'RoRE position 2023-24'!$C$64:$E$64</c:f>
              <c:numCache>
                <c:formatCode>0.0%</c:formatCode>
                <c:ptCount val="3"/>
                <c:pt idx="0">
                  <c:v>4.3785971631238053E-4</c:v>
                </c:pt>
                <c:pt idx="1">
                  <c:v>3.3495484159402807E-4</c:v>
                </c:pt>
                <c:pt idx="2">
                  <c:v>-2.764871086282354E-3</c:v>
                </c:pt>
              </c:numCache>
            </c:numRef>
          </c:val>
          <c:extLst>
            <c:ext xmlns:c16="http://schemas.microsoft.com/office/drawing/2014/chart" uri="{C3380CC4-5D6E-409C-BE32-E72D297353CC}">
              <c16:uniqueId val="{00000005-901B-43E1-A2B2-5CCF3A82E3FC}"/>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2023-24'!$B$65</c:f>
              <c:strCache>
                <c:ptCount val="1"/>
                <c:pt idx="0">
                  <c:v>RoRE - including financing and tax</c:v>
                </c:pt>
              </c:strCache>
            </c:strRef>
          </c:tx>
          <c:spPr>
            <a:ln w="28575" cap="rnd">
              <a:solidFill>
                <a:schemeClr val="accent4"/>
              </a:solidFill>
              <a:round/>
            </a:ln>
            <a:effectLst/>
          </c:spPr>
          <c:marker>
            <c:symbol val="none"/>
          </c:marker>
          <c:cat>
            <c:strRef>
              <c:f>'RoRE position 2023-24'!$C$43:$E$43</c:f>
              <c:strCache>
                <c:ptCount val="3"/>
                <c:pt idx="0">
                  <c:v>NGET (TO)</c:v>
                </c:pt>
                <c:pt idx="1">
                  <c:v>SPT</c:v>
                </c:pt>
                <c:pt idx="2">
                  <c:v>SHET</c:v>
                </c:pt>
              </c:strCache>
            </c:strRef>
          </c:cat>
          <c:val>
            <c:numRef>
              <c:f>'RoRE position 2023-24'!$C$65:$E$65</c:f>
              <c:numCache>
                <c:formatCode>0.0%</c:formatCode>
                <c:ptCount val="3"/>
                <c:pt idx="0">
                  <c:v>8.362554475338474E-2</c:v>
                </c:pt>
                <c:pt idx="1">
                  <c:v>8.4640809475771281E-2</c:v>
                </c:pt>
                <c:pt idx="2">
                  <c:v>8.468800049253454E-2</c:v>
                </c:pt>
              </c:numCache>
            </c:numRef>
          </c:val>
          <c:smooth val="0"/>
          <c:extLst>
            <c:ext xmlns:c16="http://schemas.microsoft.com/office/drawing/2014/chart" uri="{C3380CC4-5D6E-409C-BE32-E72D297353CC}">
              <c16:uniqueId val="{00000006-901B-43E1-A2B2-5CCF3A82E3F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solidFill>
                  <a:sysClr val="windowText" lastClr="000000"/>
                </a:solidFill>
              </a:rPr>
              <a:t>GT2  RoRE by Licensee </a:t>
            </a:r>
            <a:endParaRPr lang="en-US" sz="1400" b="1" u="sng">
              <a:solidFill>
                <a:sysClr val="windowText" lastClr="000000"/>
              </a:solidFill>
            </a:endParaRPr>
          </a:p>
        </c:rich>
      </c:tx>
      <c:layout>
        <c:manualLayout>
          <c:xMode val="edge"/>
          <c:yMode val="edge"/>
          <c:x val="0.44936173910029198"/>
          <c:y val="2.77777014098137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2023-24'!$B$88</c:f>
              <c:strCache>
                <c:ptCount val="1"/>
                <c:pt idx="0">
                  <c:v>RoRE - Operational performance</c:v>
                </c:pt>
              </c:strCache>
            </c:strRef>
          </c:tx>
          <c:spPr>
            <a:solidFill>
              <a:schemeClr val="accent1"/>
            </a:solidFill>
            <a:ln>
              <a:noFill/>
            </a:ln>
            <a:effectLst/>
          </c:spPr>
          <c:invertIfNegative val="0"/>
          <c:cat>
            <c:strRef>
              <c:f>'RoRE position 2023-24'!$C$69</c:f>
              <c:strCache>
                <c:ptCount val="1"/>
                <c:pt idx="0">
                  <c:v>NGGT (TO)</c:v>
                </c:pt>
              </c:strCache>
            </c:strRef>
          </c:cat>
          <c:val>
            <c:numRef>
              <c:f>'RoRE position 2023-24'!$C$88</c:f>
              <c:numCache>
                <c:formatCode>0.0%</c:formatCode>
                <c:ptCount val="1"/>
                <c:pt idx="0">
                  <c:v>5.0824152557630148E-2</c:v>
                </c:pt>
              </c:numCache>
            </c:numRef>
          </c:val>
          <c:extLst>
            <c:ext xmlns:c16="http://schemas.microsoft.com/office/drawing/2014/chart" uri="{C3380CC4-5D6E-409C-BE32-E72D297353CC}">
              <c16:uniqueId val="{00000000-C796-43A3-82AF-D37DB2671D0C}"/>
            </c:ext>
          </c:extLst>
        </c:ser>
        <c:ser>
          <c:idx val="1"/>
          <c:order val="1"/>
          <c:tx>
            <c:strRef>
              <c:f>'RoRE position 2023-24'!$B$89</c:f>
              <c:strCache>
                <c:ptCount val="1"/>
                <c:pt idx="0">
                  <c:v>Debt performance - at notional gearing</c:v>
                </c:pt>
              </c:strCache>
            </c:strRef>
          </c:tx>
          <c:spPr>
            <a:solidFill>
              <a:schemeClr val="accent2"/>
            </a:solidFill>
            <a:ln>
              <a:noFill/>
            </a:ln>
            <a:effectLst/>
          </c:spPr>
          <c:invertIfNegative val="0"/>
          <c:cat>
            <c:strRef>
              <c:f>'RoRE position 2023-24'!$C$69</c:f>
              <c:strCache>
                <c:ptCount val="1"/>
                <c:pt idx="0">
                  <c:v>NGGT (TO)</c:v>
                </c:pt>
              </c:strCache>
            </c:strRef>
          </c:cat>
          <c:val>
            <c:numRef>
              <c:f>'RoRE position 2023-24'!$C$89</c:f>
              <c:numCache>
                <c:formatCode>0.0%</c:formatCode>
                <c:ptCount val="1"/>
                <c:pt idx="0">
                  <c:v>9.0025040766013997E-5</c:v>
                </c:pt>
              </c:numCache>
            </c:numRef>
          </c:val>
          <c:extLst>
            <c:ext xmlns:c16="http://schemas.microsoft.com/office/drawing/2014/chart" uri="{C3380CC4-5D6E-409C-BE32-E72D297353CC}">
              <c16:uniqueId val="{00000004-C796-43A3-82AF-D37DB2671D0C}"/>
            </c:ext>
          </c:extLst>
        </c:ser>
        <c:ser>
          <c:idx val="2"/>
          <c:order val="2"/>
          <c:tx>
            <c:strRef>
              <c:f>'RoRE position 2023-24'!$B$90</c:f>
              <c:strCache>
                <c:ptCount val="1"/>
                <c:pt idx="0">
                  <c:v>Tax performance - at notional gearing</c:v>
                </c:pt>
              </c:strCache>
            </c:strRef>
          </c:tx>
          <c:spPr>
            <a:solidFill>
              <a:schemeClr val="accent3"/>
            </a:solidFill>
            <a:ln>
              <a:noFill/>
            </a:ln>
            <a:effectLst/>
          </c:spPr>
          <c:invertIfNegative val="0"/>
          <c:cat>
            <c:strRef>
              <c:f>'RoRE position 2023-24'!$C$69</c:f>
              <c:strCache>
                <c:ptCount val="1"/>
                <c:pt idx="0">
                  <c:v>NGGT (TO)</c:v>
                </c:pt>
              </c:strCache>
            </c:strRef>
          </c:cat>
          <c:val>
            <c:numRef>
              <c:f>'RoRE position 2023-24'!$C$90</c:f>
              <c:numCache>
                <c:formatCode>0.0%</c:formatCode>
                <c:ptCount val="1"/>
                <c:pt idx="0">
                  <c:v>7.3263855864285762E-3</c:v>
                </c:pt>
              </c:numCache>
            </c:numRef>
          </c:val>
          <c:extLst>
            <c:ext xmlns:c16="http://schemas.microsoft.com/office/drawing/2014/chart" uri="{C3380CC4-5D6E-409C-BE32-E72D297353CC}">
              <c16:uniqueId val="{00000005-C796-43A3-82AF-D37DB2671D0C}"/>
            </c:ext>
          </c:extLst>
        </c:ser>
        <c:dLbls>
          <c:showLegendKey val="0"/>
          <c:showVal val="0"/>
          <c:showCatName val="0"/>
          <c:showSerName val="0"/>
          <c:showPercent val="0"/>
          <c:showBubbleSize val="0"/>
        </c:dLbls>
        <c:gapWidth val="150"/>
        <c:overlap val="100"/>
        <c:axId val="707914063"/>
        <c:axId val="707921967"/>
      </c:barChart>
      <c:lineChart>
        <c:grouping val="stacked"/>
        <c:varyColors val="0"/>
        <c:ser>
          <c:idx val="3"/>
          <c:order val="3"/>
          <c:tx>
            <c:strRef>
              <c:f>'RoRE position 2023-24'!$B$91</c:f>
              <c:strCache>
                <c:ptCount val="1"/>
                <c:pt idx="0">
                  <c:v>RoRE - including financing and tax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'RoRE position 2023-24'!$C$69</c:f>
              <c:strCache>
                <c:ptCount val="1"/>
                <c:pt idx="0">
                  <c:v>NGGT (TO)</c:v>
                </c:pt>
              </c:strCache>
            </c:strRef>
          </c:cat>
          <c:val>
            <c:numRef>
              <c:f>'RoRE position 2023-24'!$C$91</c:f>
              <c:numCache>
                <c:formatCode>0.0%</c:formatCode>
                <c:ptCount val="1"/>
                <c:pt idx="0">
                  <c:v>5.8240563184824741E-2</c:v>
                </c:pt>
              </c:numCache>
            </c:numRef>
          </c:val>
          <c:smooth val="0"/>
          <c:extLst>
            <c:ext xmlns:c16="http://schemas.microsoft.com/office/drawing/2014/chart" uri="{C3380CC4-5D6E-409C-BE32-E72D297353CC}">
              <c16:uniqueId val="{00000006-C796-43A3-82AF-D37DB2671D0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RoRE by Sector </a:t>
            </a:r>
            <a:endParaRPr lang="en-US" b="1" u="sng"/>
          </a:p>
        </c:rich>
      </c:tx>
      <c:layout>
        <c:manualLayout>
          <c:xMode val="edge"/>
          <c:yMode val="edge"/>
          <c:x val="0.47364065085654483"/>
          <c:y val="2.566844919786096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'RoRE by sector 2023-24'!$B$6</c:f>
              <c:strCache>
                <c:ptCount val="1"/>
                <c:pt idx="0">
                  <c:v>Allowed Equity Return + BPI</c:v>
                </c:pt>
              </c:strCache>
            </c:strRef>
          </c:tx>
          <c:spPr>
            <a:solidFill>
              <a:schemeClr val="accent1"/>
            </a:solidFill>
            <a:ln>
              <a:noFill/>
            </a:ln>
            <a:effectLst/>
          </c:spPr>
          <c:invertIfNegative val="0"/>
          <c:cat>
            <c:strRef>
              <c:f>'RoRE by sector 2023-24'!$C$5:$F$5</c:f>
              <c:strCache>
                <c:ptCount val="4"/>
                <c:pt idx="0">
                  <c:v>GD</c:v>
                </c:pt>
                <c:pt idx="1">
                  <c:v>ET</c:v>
                </c:pt>
                <c:pt idx="2">
                  <c:v>GT</c:v>
                </c:pt>
                <c:pt idx="3">
                  <c:v>ED</c:v>
                </c:pt>
              </c:strCache>
            </c:strRef>
          </c:cat>
          <c:val>
            <c:numRef>
              <c:f>'RoRE by sector 2023-24'!$C$6:$F$6</c:f>
              <c:numCache>
                <c:formatCode>0.0%</c:formatCode>
                <c:ptCount val="4"/>
                <c:pt idx="0">
                  <c:v>5.115773074085863E-2</c:v>
                </c:pt>
                <c:pt idx="1">
                  <c:v>4.7192878493251419E-2</c:v>
                </c:pt>
                <c:pt idx="2">
                  <c:v>4.8981960052903437E-2</c:v>
                </c:pt>
                <c:pt idx="3">
                  <c:v>5.5519125291902928E-2</c:v>
                </c:pt>
              </c:numCache>
            </c:numRef>
          </c:val>
          <c:extLst>
            <c:ext xmlns:c16="http://schemas.microsoft.com/office/drawing/2014/chart" uri="{C3380CC4-5D6E-409C-BE32-E72D297353CC}">
              <c16:uniqueId val="{00000000-8F89-4B32-9C17-8329D04C1617}"/>
            </c:ext>
          </c:extLst>
        </c:ser>
        <c:ser>
          <c:idx val="1"/>
          <c:order val="1"/>
          <c:tx>
            <c:strRef>
              <c:f>'RoRE by sector 2023-24'!$B$7</c:f>
              <c:strCache>
                <c:ptCount val="1"/>
                <c:pt idx="0">
                  <c:v>Operational performance - Totex</c:v>
                </c:pt>
              </c:strCache>
            </c:strRef>
          </c:tx>
          <c:spPr>
            <a:solidFill>
              <a:schemeClr val="accent2"/>
            </a:solidFill>
            <a:ln>
              <a:noFill/>
            </a:ln>
            <a:effectLst/>
          </c:spPr>
          <c:invertIfNegative val="0"/>
          <c:cat>
            <c:strRef>
              <c:f>'RoRE by sector 2023-24'!$C$5:$F$5</c:f>
              <c:strCache>
                <c:ptCount val="4"/>
                <c:pt idx="0">
                  <c:v>GD</c:v>
                </c:pt>
                <c:pt idx="1">
                  <c:v>ET</c:v>
                </c:pt>
                <c:pt idx="2">
                  <c:v>GT</c:v>
                </c:pt>
                <c:pt idx="3">
                  <c:v>ED</c:v>
                </c:pt>
              </c:strCache>
            </c:strRef>
          </c:cat>
          <c:val>
            <c:numRef>
              <c:f>'RoRE by sector 2023-24'!$C$7:$F$7</c:f>
              <c:numCache>
                <c:formatCode>0.0%</c:formatCode>
                <c:ptCount val="4"/>
                <c:pt idx="0">
                  <c:v>-6.8418825219951863E-3</c:v>
                </c:pt>
                <c:pt idx="1">
                  <c:v>9.4088281415518477E-3</c:v>
                </c:pt>
                <c:pt idx="2">
                  <c:v>8.3649235729465349E-4</c:v>
                </c:pt>
                <c:pt idx="3">
                  <c:v>4.9184182221923885E-3</c:v>
                </c:pt>
              </c:numCache>
            </c:numRef>
          </c:val>
          <c:extLst>
            <c:ext xmlns:c16="http://schemas.microsoft.com/office/drawing/2014/chart" uri="{C3380CC4-5D6E-409C-BE32-E72D297353CC}">
              <c16:uniqueId val="{00000001-8F89-4B32-9C17-8329D04C1617}"/>
            </c:ext>
          </c:extLst>
        </c:ser>
        <c:ser>
          <c:idx val="2"/>
          <c:order val="2"/>
          <c:tx>
            <c:strRef>
              <c:f>'RoRE by sector 2023-24'!$B$8</c:f>
              <c:strCache>
                <c:ptCount val="1"/>
                <c:pt idx="0">
                  <c:v>Operational performance - other</c:v>
                </c:pt>
              </c:strCache>
            </c:strRef>
          </c:tx>
          <c:spPr>
            <a:solidFill>
              <a:schemeClr val="accent3"/>
            </a:solidFill>
            <a:ln>
              <a:noFill/>
            </a:ln>
            <a:effectLst/>
          </c:spPr>
          <c:invertIfNegative val="0"/>
          <c:cat>
            <c:strRef>
              <c:f>'RoRE by sector 2023-24'!$C$5:$F$5</c:f>
              <c:strCache>
                <c:ptCount val="4"/>
                <c:pt idx="0">
                  <c:v>GD</c:v>
                </c:pt>
                <c:pt idx="1">
                  <c:v>ET</c:v>
                </c:pt>
                <c:pt idx="2">
                  <c:v>GT</c:v>
                </c:pt>
                <c:pt idx="3">
                  <c:v>ED</c:v>
                </c:pt>
              </c:strCache>
            </c:strRef>
          </c:cat>
          <c:val>
            <c:numRef>
              <c:f>'RoRE by sector 2023-24'!$C$8:$F$8</c:f>
              <c:numCache>
                <c:formatCode>0.0%</c:formatCode>
                <c:ptCount val="4"/>
                <c:pt idx="0">
                  <c:v>4.5417771791297858E-4</c:v>
                </c:pt>
                <c:pt idx="1">
                  <c:v>1.0496187902675942E-3</c:v>
                </c:pt>
                <c:pt idx="2">
                  <c:v>1.0057001474320512E-3</c:v>
                </c:pt>
                <c:pt idx="3">
                  <c:v>3.8707000870940116E-3</c:v>
                </c:pt>
              </c:numCache>
            </c:numRef>
          </c:val>
          <c:extLst>
            <c:ext xmlns:c16="http://schemas.microsoft.com/office/drawing/2014/chart" uri="{C3380CC4-5D6E-409C-BE32-E72D297353CC}">
              <c16:uniqueId val="{00000002-8F89-4B32-9C17-8329D04C1617}"/>
            </c:ext>
          </c:extLst>
        </c:ser>
        <c:ser>
          <c:idx val="4"/>
          <c:order val="4"/>
          <c:tx>
            <c:strRef>
              <c:f>'RoRE by sector 2023-24'!$B$10</c:f>
              <c:strCache>
                <c:ptCount val="1"/>
                <c:pt idx="0">
                  <c:v>Financing and tax performance</c:v>
                </c:pt>
              </c:strCache>
            </c:strRef>
          </c:tx>
          <c:spPr>
            <a:solidFill>
              <a:schemeClr val="accent5"/>
            </a:solidFill>
            <a:ln>
              <a:noFill/>
            </a:ln>
            <a:effectLst/>
          </c:spPr>
          <c:invertIfNegative val="0"/>
          <c:cat>
            <c:strRef>
              <c:f>'RoRE by sector 2023-24'!$C$5:$F$5</c:f>
              <c:strCache>
                <c:ptCount val="4"/>
                <c:pt idx="0">
                  <c:v>GD</c:v>
                </c:pt>
                <c:pt idx="1">
                  <c:v>ET</c:v>
                </c:pt>
                <c:pt idx="2">
                  <c:v>GT</c:v>
                </c:pt>
                <c:pt idx="3">
                  <c:v>ED</c:v>
                </c:pt>
              </c:strCache>
            </c:strRef>
          </c:cat>
          <c:val>
            <c:numRef>
              <c:f>'RoRE by sector 2023-24'!$C$10:$F$10</c:f>
              <c:numCache>
                <c:formatCode>0.0%</c:formatCode>
                <c:ptCount val="4"/>
                <c:pt idx="0">
                  <c:v>2.6331010880561861E-2</c:v>
                </c:pt>
                <c:pt idx="1">
                  <c:v>2.631807698937301E-2</c:v>
                </c:pt>
                <c:pt idx="2">
                  <c:v>7.4164106271945906E-3</c:v>
                </c:pt>
                <c:pt idx="3">
                  <c:v>1.8830893049782062E-2</c:v>
                </c:pt>
              </c:numCache>
            </c:numRef>
          </c:val>
          <c:extLst>
            <c:ext xmlns:c16="http://schemas.microsoft.com/office/drawing/2014/chart" uri="{C3380CC4-5D6E-409C-BE32-E72D297353CC}">
              <c16:uniqueId val="{00000003-8F89-4B32-9C17-8329D04C1617}"/>
            </c:ext>
          </c:extLst>
        </c:ser>
        <c:dLbls>
          <c:showLegendKey val="0"/>
          <c:showVal val="0"/>
          <c:showCatName val="0"/>
          <c:showSerName val="0"/>
          <c:showPercent val="0"/>
          <c:showBubbleSize val="0"/>
        </c:dLbls>
        <c:gapWidth val="150"/>
        <c:overlap val="100"/>
        <c:axId val="867228815"/>
        <c:axId val="867226319"/>
      </c:barChart>
      <c:lineChart>
        <c:grouping val="standard"/>
        <c:varyColors val="0"/>
        <c:ser>
          <c:idx val="3"/>
          <c:order val="3"/>
          <c:tx>
            <c:strRef>
              <c:f>'RoRE by sector 2023-24'!$B$9</c:f>
              <c:strCache>
                <c:ptCount val="1"/>
                <c:pt idx="0">
                  <c:v>Operational RoRE</c:v>
                </c:pt>
              </c:strCache>
            </c:strRef>
          </c:tx>
          <c:spPr>
            <a:ln w="28575" cap="rnd">
              <a:solidFill>
                <a:schemeClr val="accent4"/>
              </a:solidFill>
              <a:round/>
            </a:ln>
            <a:effectLst/>
          </c:spPr>
          <c:marker>
            <c:symbol val="none"/>
          </c:marker>
          <c:cat>
            <c:strRef>
              <c:f>'RoRE by sector 2023-24'!$C$5:$F$5</c:f>
              <c:strCache>
                <c:ptCount val="4"/>
                <c:pt idx="0">
                  <c:v>GD</c:v>
                </c:pt>
                <c:pt idx="1">
                  <c:v>ET</c:v>
                </c:pt>
                <c:pt idx="2">
                  <c:v>GT</c:v>
                </c:pt>
                <c:pt idx="3">
                  <c:v>ED</c:v>
                </c:pt>
              </c:strCache>
            </c:strRef>
          </c:cat>
          <c:val>
            <c:numRef>
              <c:f>'RoRE by sector 2023-24'!$C$9:$F$9</c:f>
              <c:numCache>
                <c:formatCode>0.0%</c:formatCode>
                <c:ptCount val="4"/>
                <c:pt idx="0">
                  <c:v>4.4770025936776425E-2</c:v>
                </c:pt>
                <c:pt idx="1">
                  <c:v>5.7651325425070864E-2</c:v>
                </c:pt>
                <c:pt idx="2">
                  <c:v>5.0824152557630141E-2</c:v>
                </c:pt>
                <c:pt idx="3">
                  <c:v>6.4308243601189335E-2</c:v>
                </c:pt>
              </c:numCache>
            </c:numRef>
          </c:val>
          <c:smooth val="0"/>
          <c:extLst>
            <c:ext xmlns:c16="http://schemas.microsoft.com/office/drawing/2014/chart" uri="{C3380CC4-5D6E-409C-BE32-E72D297353CC}">
              <c16:uniqueId val="{00000004-8F89-4B32-9C17-8329D04C1617}"/>
            </c:ext>
          </c:extLst>
        </c:ser>
        <c:ser>
          <c:idx val="5"/>
          <c:order val="5"/>
          <c:tx>
            <c:strRef>
              <c:f>'RoRE by sector 2023-24'!$B$11</c:f>
              <c:strCache>
                <c:ptCount val="1"/>
                <c:pt idx="0">
                  <c:v>Total RoRE</c:v>
                </c:pt>
              </c:strCache>
            </c:strRef>
          </c:tx>
          <c:spPr>
            <a:ln w="28575" cap="rnd">
              <a:solidFill>
                <a:schemeClr val="accent6"/>
              </a:solidFill>
              <a:round/>
            </a:ln>
            <a:effectLst/>
          </c:spPr>
          <c:marker>
            <c:symbol val="none"/>
          </c:marker>
          <c:cat>
            <c:strRef>
              <c:f>'RoRE by sector 2023-24'!$C$5:$F$5</c:f>
              <c:strCache>
                <c:ptCount val="4"/>
                <c:pt idx="0">
                  <c:v>GD</c:v>
                </c:pt>
                <c:pt idx="1">
                  <c:v>ET</c:v>
                </c:pt>
                <c:pt idx="2">
                  <c:v>GT</c:v>
                </c:pt>
                <c:pt idx="3">
                  <c:v>ED</c:v>
                </c:pt>
              </c:strCache>
            </c:strRef>
          </c:cat>
          <c:val>
            <c:numRef>
              <c:f>'RoRE by sector 2023-24'!$C$11:$F$11</c:f>
              <c:numCache>
                <c:formatCode>0.0%</c:formatCode>
                <c:ptCount val="4"/>
                <c:pt idx="0">
                  <c:v>7.1101036817338287E-2</c:v>
                </c:pt>
                <c:pt idx="1">
                  <c:v>8.3969402414443867E-2</c:v>
                </c:pt>
                <c:pt idx="2">
                  <c:v>5.8240563184824734E-2</c:v>
                </c:pt>
                <c:pt idx="3">
                  <c:v>8.313913665097139E-2</c:v>
                </c:pt>
              </c:numCache>
            </c:numRef>
          </c:val>
          <c:smooth val="0"/>
          <c:extLst>
            <c:ext xmlns:c16="http://schemas.microsoft.com/office/drawing/2014/chart" uri="{C3380CC4-5D6E-409C-BE32-E72D297353CC}">
              <c16:uniqueId val="{00000005-8F89-4B32-9C17-8329D04C1617}"/>
            </c:ext>
          </c:extLst>
        </c:ser>
        <c:dLbls>
          <c:showLegendKey val="0"/>
          <c:showVal val="0"/>
          <c:showCatName val="0"/>
          <c:showSerName val="0"/>
          <c:showPercent val="0"/>
          <c:showBubbleSize val="0"/>
        </c:dLbls>
        <c:marker val="1"/>
        <c:smooth val="0"/>
        <c:axId val="867228815"/>
        <c:axId val="867226319"/>
      </c:lineChart>
      <c:catAx>
        <c:axId val="86722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6319"/>
        <c:crosses val="autoZero"/>
        <c:auto val="1"/>
        <c:lblAlgn val="ctr"/>
        <c:lblOffset val="100"/>
        <c:noMultiLvlLbl val="0"/>
      </c:catAx>
      <c:valAx>
        <c:axId val="867226319"/>
        <c:scaling>
          <c:orientation val="minMax"/>
        </c:scaling>
        <c:delete val="0"/>
        <c:axPos val="l"/>
        <c:majorGridlines>
          <c:spPr>
            <a:ln w="9525" cap="flat" cmpd="sng" algn="ctr">
              <a:solidFill>
                <a:schemeClr val="tx1">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8815"/>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solidFill>
                  <a:sysClr val="windowText" lastClr="000000"/>
                </a:solidFill>
              </a:rPr>
              <a:t>ED2  RoRE by Licensee </a:t>
            </a:r>
            <a:endParaRPr lang="en-US" sz="1400" b="1" u="sng">
              <a:solidFill>
                <a:sysClr val="windowText" lastClr="000000"/>
              </a:solidFill>
            </a:endParaRPr>
          </a:p>
        </c:rich>
      </c:tx>
      <c:layout>
        <c:manualLayout>
          <c:xMode val="edge"/>
          <c:yMode val="edge"/>
          <c:x val="0.48080715451853961"/>
          <c:y val="2.777775874015402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2023-24'!$J$38</c:f>
              <c:strCache>
                <c:ptCount val="1"/>
                <c:pt idx="0">
                  <c:v>RoRE - Operational performance</c:v>
                </c:pt>
              </c:strCache>
            </c:strRef>
          </c:tx>
          <c:spPr>
            <a:solidFill>
              <a:schemeClr val="accent1"/>
            </a:solidFill>
            <a:ln>
              <a:noFill/>
            </a:ln>
            <a:effectLst/>
          </c:spPr>
          <c:invertIfNegative val="0"/>
          <c:cat>
            <c:strRef>
              <c:f>'RoRE position 2023-24'!$K$17:$P$17</c:f>
              <c:strCache>
                <c:ptCount val="6"/>
                <c:pt idx="0">
                  <c:v>ENWL</c:v>
                </c:pt>
                <c:pt idx="1">
                  <c:v>NGED</c:v>
                </c:pt>
                <c:pt idx="2">
                  <c:v>NPg</c:v>
                </c:pt>
                <c:pt idx="3">
                  <c:v>SPEN</c:v>
                </c:pt>
                <c:pt idx="4">
                  <c:v>SSE</c:v>
                </c:pt>
                <c:pt idx="5">
                  <c:v>UKPN</c:v>
                </c:pt>
              </c:strCache>
            </c:strRef>
          </c:cat>
          <c:val>
            <c:numRef>
              <c:f>'RoRE position 2023-24'!$K$38:$P$38</c:f>
              <c:numCache>
                <c:formatCode>0.0%</c:formatCode>
                <c:ptCount val="6"/>
                <c:pt idx="0">
                  <c:v>6.6025786717438778E-2</c:v>
                </c:pt>
                <c:pt idx="1">
                  <c:v>6.2012662384595248E-2</c:v>
                </c:pt>
                <c:pt idx="2">
                  <c:v>5.3602170053100119E-2</c:v>
                </c:pt>
                <c:pt idx="3">
                  <c:v>6.0717342440098909E-2</c:v>
                </c:pt>
                <c:pt idx="4">
                  <c:v>5.9017584708425601E-2</c:v>
                </c:pt>
                <c:pt idx="5">
                  <c:v>7.8743538994928974E-2</c:v>
                </c:pt>
              </c:numCache>
            </c:numRef>
          </c:val>
          <c:extLst>
            <c:ext xmlns:c16="http://schemas.microsoft.com/office/drawing/2014/chart" uri="{C3380CC4-5D6E-409C-BE32-E72D297353CC}">
              <c16:uniqueId val="{00000000-18C9-4955-B44E-9C6E1ED91920}"/>
            </c:ext>
          </c:extLst>
        </c:ser>
        <c:ser>
          <c:idx val="1"/>
          <c:order val="1"/>
          <c:tx>
            <c:strRef>
              <c:f>'RoRE position 2023-24'!$J$39</c:f>
              <c:strCache>
                <c:ptCount val="1"/>
                <c:pt idx="0">
                  <c:v>Debt performance - at notional gearing</c:v>
                </c:pt>
              </c:strCache>
            </c:strRef>
          </c:tx>
          <c:spPr>
            <a:solidFill>
              <a:schemeClr val="accent2"/>
            </a:solidFill>
            <a:ln>
              <a:noFill/>
            </a:ln>
            <a:effectLst/>
          </c:spPr>
          <c:invertIfNegative val="0"/>
          <c:cat>
            <c:strRef>
              <c:f>'RoRE position 2023-24'!$K$17:$P$17</c:f>
              <c:strCache>
                <c:ptCount val="6"/>
                <c:pt idx="0">
                  <c:v>ENWL</c:v>
                </c:pt>
                <c:pt idx="1">
                  <c:v>NGED</c:v>
                </c:pt>
                <c:pt idx="2">
                  <c:v>NPg</c:v>
                </c:pt>
                <c:pt idx="3">
                  <c:v>SPEN</c:v>
                </c:pt>
                <c:pt idx="4">
                  <c:v>SSE</c:v>
                </c:pt>
                <c:pt idx="5">
                  <c:v>UKPN</c:v>
                </c:pt>
              </c:strCache>
            </c:strRef>
          </c:cat>
          <c:val>
            <c:numRef>
              <c:f>'RoRE position 2023-24'!$K$39:$P$39</c:f>
              <c:numCache>
                <c:formatCode>0.0%</c:formatCode>
                <c:ptCount val="6"/>
                <c:pt idx="0">
                  <c:v>-8.2347232180581063E-4</c:v>
                </c:pt>
                <c:pt idx="1">
                  <c:v>1.5956715852359218E-2</c:v>
                </c:pt>
                <c:pt idx="2">
                  <c:v>3.3974211911436222E-2</c:v>
                </c:pt>
                <c:pt idx="3">
                  <c:v>1.8170224625405712E-2</c:v>
                </c:pt>
                <c:pt idx="4">
                  <c:v>1.8719035520904214E-2</c:v>
                </c:pt>
                <c:pt idx="5">
                  <c:v>1.8597378849193397E-2</c:v>
                </c:pt>
              </c:numCache>
            </c:numRef>
          </c:val>
          <c:extLst>
            <c:ext xmlns:c16="http://schemas.microsoft.com/office/drawing/2014/chart" uri="{C3380CC4-5D6E-409C-BE32-E72D297353CC}">
              <c16:uniqueId val="{00000014-6C17-493E-829A-980829CAB28E}"/>
            </c:ext>
          </c:extLst>
        </c:ser>
        <c:ser>
          <c:idx val="2"/>
          <c:order val="2"/>
          <c:tx>
            <c:strRef>
              <c:f>'RoRE position 2023-24'!$J$40</c:f>
              <c:strCache>
                <c:ptCount val="1"/>
                <c:pt idx="0">
                  <c:v>Tax performance - at notional gearing</c:v>
                </c:pt>
              </c:strCache>
            </c:strRef>
          </c:tx>
          <c:spPr>
            <a:solidFill>
              <a:schemeClr val="accent3"/>
            </a:solidFill>
            <a:ln>
              <a:noFill/>
            </a:ln>
            <a:effectLst/>
          </c:spPr>
          <c:invertIfNegative val="0"/>
          <c:cat>
            <c:strRef>
              <c:f>'RoRE position 2023-24'!$K$17:$P$17</c:f>
              <c:strCache>
                <c:ptCount val="6"/>
                <c:pt idx="0">
                  <c:v>ENWL</c:v>
                </c:pt>
                <c:pt idx="1">
                  <c:v>NGED</c:v>
                </c:pt>
                <c:pt idx="2">
                  <c:v>NPg</c:v>
                </c:pt>
                <c:pt idx="3">
                  <c:v>SPEN</c:v>
                </c:pt>
                <c:pt idx="4">
                  <c:v>SSE</c:v>
                </c:pt>
                <c:pt idx="5">
                  <c:v>UKPN</c:v>
                </c:pt>
              </c:strCache>
            </c:strRef>
          </c:cat>
          <c:val>
            <c:numRef>
              <c:f>'RoRE position 2023-24'!$K$40:$P$40</c:f>
              <c:numCache>
                <c:formatCode>0.0%</c:formatCode>
                <c:ptCount val="6"/>
                <c:pt idx="0">
                  <c:v>2.1346807988295684E-3</c:v>
                </c:pt>
                <c:pt idx="1">
                  <c:v>1.708797482442992E-3</c:v>
                </c:pt>
                <c:pt idx="2">
                  <c:v>-4.4634837398688527E-3</c:v>
                </c:pt>
                <c:pt idx="3">
                  <c:v>1.5023285279750596E-5</c:v>
                </c:pt>
                <c:pt idx="4">
                  <c:v>6.2448596619635018E-4</c:v>
                </c:pt>
                <c:pt idx="5">
                  <c:v>1.7043769050034765E-3</c:v>
                </c:pt>
              </c:numCache>
            </c:numRef>
          </c:val>
          <c:extLst>
            <c:ext xmlns:c16="http://schemas.microsoft.com/office/drawing/2014/chart" uri="{C3380CC4-5D6E-409C-BE32-E72D297353CC}">
              <c16:uniqueId val="{00000015-6C17-493E-829A-980829CAB28E}"/>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2023-24'!$J$41</c:f>
              <c:strCache>
                <c:ptCount val="1"/>
                <c:pt idx="0">
                  <c:v>RoRE - including financing and tax</c:v>
                </c:pt>
              </c:strCache>
            </c:strRef>
          </c:tx>
          <c:spPr>
            <a:ln w="28575" cap="rnd">
              <a:solidFill>
                <a:schemeClr val="accent4"/>
              </a:solidFill>
              <a:round/>
            </a:ln>
            <a:effectLst/>
          </c:spPr>
          <c:marker>
            <c:symbol val="none"/>
          </c:marker>
          <c:cat>
            <c:strRef>
              <c:f>'RoRE position 2023-24'!$K$17:$P$17</c:f>
              <c:strCache>
                <c:ptCount val="6"/>
                <c:pt idx="0">
                  <c:v>ENWL</c:v>
                </c:pt>
                <c:pt idx="1">
                  <c:v>NGED</c:v>
                </c:pt>
                <c:pt idx="2">
                  <c:v>NPg</c:v>
                </c:pt>
                <c:pt idx="3">
                  <c:v>SPEN</c:v>
                </c:pt>
                <c:pt idx="4">
                  <c:v>SSE</c:v>
                </c:pt>
                <c:pt idx="5">
                  <c:v>UKPN</c:v>
                </c:pt>
              </c:strCache>
            </c:strRef>
          </c:cat>
          <c:val>
            <c:numRef>
              <c:f>'RoRE position 2023-24'!$K$41:$P$41</c:f>
              <c:numCache>
                <c:formatCode>0.0%</c:formatCode>
                <c:ptCount val="6"/>
                <c:pt idx="0">
                  <c:v>6.733699519446254E-2</c:v>
                </c:pt>
                <c:pt idx="1">
                  <c:v>7.9678175719397448E-2</c:v>
                </c:pt>
                <c:pt idx="2">
                  <c:v>8.3112898224667497E-2</c:v>
                </c:pt>
                <c:pt idx="3">
                  <c:v>7.8902590350784368E-2</c:v>
                </c:pt>
                <c:pt idx="4">
                  <c:v>7.8361106195526165E-2</c:v>
                </c:pt>
                <c:pt idx="5">
                  <c:v>9.9045294749125851E-2</c:v>
                </c:pt>
              </c:numCache>
            </c:numRef>
          </c:val>
          <c:smooth val="0"/>
          <c:extLst>
            <c:ext xmlns:c16="http://schemas.microsoft.com/office/drawing/2014/chart" uri="{C3380CC4-5D6E-409C-BE32-E72D297353CC}">
              <c16:uniqueId val="{00000016-6C17-493E-829A-980829CAB28E}"/>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3.png"/><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 &amp; Version Control'!Print_Area"/></Relationships>
</file>

<file path=xl/drawings/_rels/drawing2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42182</xdr:rowOff>
    </xdr:from>
    <xdr:to>
      <xdr:col>2</xdr:col>
      <xdr:colOff>2190750</xdr:colOff>
      <xdr:row>1</xdr:row>
      <xdr:rowOff>31666</xdr:rowOff>
    </xdr:to>
    <xdr:pic>
      <xdr:nvPicPr>
        <xdr:cNvPr id="2"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42182"/>
          <a:ext cx="3400423" cy="71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726148</xdr:colOff>
      <xdr:row>0</xdr:row>
      <xdr:rowOff>713384</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2200501</xdr:colOff>
      <xdr:row>0</xdr:row>
      <xdr:rowOff>733425</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2170765</xdr:colOff>
      <xdr:row>0</xdr:row>
      <xdr:rowOff>707669</xdr:rowOff>
    </xdr:to>
    <xdr:pic>
      <xdr:nvPicPr>
        <xdr:cNvPr id="2" name="Picture 1" descr="Ofgem banner" title="Ofgem banner">
          <a:extLst>
            <a:ext uri="{FF2B5EF4-FFF2-40B4-BE49-F238E27FC236}">
              <a16:creationId xmlns:a16="http://schemas.microsoft.com/office/drawing/2014/main" id="{0E6BAC50-071A-406E-92EC-2A01CCB81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6590" cy="7076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707669</xdr:rowOff>
    </xdr:to>
    <xdr:pic>
      <xdr:nvPicPr>
        <xdr:cNvPr id="2" name="Picture 1" descr="Ofgem banner" title="Ofgem banner">
          <a:extLst>
            <a:ext uri="{FF2B5EF4-FFF2-40B4-BE49-F238E27FC236}">
              <a16:creationId xmlns:a16="http://schemas.microsoft.com/office/drawing/2014/main" id="{93BC0A99-8BD9-45BD-9433-EA95B9636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5918"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8251</xdr:colOff>
      <xdr:row>0</xdr:row>
      <xdr:rowOff>703859</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2912135</xdr:colOff>
      <xdr:row>0</xdr:row>
      <xdr:rowOff>716559</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123825</xdr:colOff>
      <xdr:row>129</xdr:row>
      <xdr:rowOff>104775</xdr:rowOff>
    </xdr:from>
    <xdr:to>
      <xdr:col>12</xdr:col>
      <xdr:colOff>523875</xdr:colOff>
      <xdr:row>149</xdr:row>
      <xdr:rowOff>38100</xdr:rowOff>
    </xdr:to>
    <xdr:graphicFrame macro="">
      <xdr:nvGraphicFramePr>
        <xdr:cNvPr id="25"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574221</xdr:colOff>
      <xdr:row>155</xdr:row>
      <xdr:rowOff>123825</xdr:rowOff>
    </xdr:from>
    <xdr:to>
      <xdr:col>12</xdr:col>
      <xdr:colOff>457201</xdr:colOff>
      <xdr:row>180</xdr:row>
      <xdr:rowOff>76199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 uri="{147F2762-F138-4A5C-976F-8EAC2B608ADB}">
              <a16:predDERef xmlns:a16="http://schemas.microsoft.com/office/drawing/2014/main" pre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740227</xdr:colOff>
      <xdr:row>188</xdr:row>
      <xdr:rowOff>0</xdr:rowOff>
    </xdr:from>
    <xdr:to>
      <xdr:col>15</xdr:col>
      <xdr:colOff>566055</xdr:colOff>
      <xdr:row>188</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 uri="{147F2762-F138-4A5C-976F-8EAC2B608ADB}">
              <a16:predDERef xmlns:a16="http://schemas.microsoft.com/office/drawing/2014/main" pre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2267</xdr:colOff>
      <xdr:row>21</xdr:row>
      <xdr:rowOff>20410</xdr:rowOff>
    </xdr:from>
    <xdr:to>
      <xdr:col>12</xdr:col>
      <xdr:colOff>488156</xdr:colOff>
      <xdr:row>48</xdr:row>
      <xdr:rowOff>119062</xdr:rowOff>
    </xdr:to>
    <xdr:graphicFrame macro="">
      <xdr:nvGraphicFramePr>
        <xdr:cNvPr id="21"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 uri="{147F2762-F138-4A5C-976F-8EAC2B608ADB}">
              <a16:predDERef xmlns:a16="http://schemas.microsoft.com/office/drawing/2014/main" pre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4</xdr:col>
      <xdr:colOff>493462</xdr:colOff>
      <xdr:row>0</xdr:row>
      <xdr:rowOff>797719</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374775" cy="797719"/>
        </a:xfrm>
        <a:prstGeom prst="rect">
          <a:avLst/>
        </a:prstGeom>
      </xdr:spPr>
    </xdr:pic>
    <xdr:clientData/>
  </xdr:twoCellAnchor>
  <xdr:twoCellAnchor>
    <xdr:from>
      <xdr:col>1</xdr:col>
      <xdr:colOff>28574</xdr:colOff>
      <xdr:row>52</xdr:row>
      <xdr:rowOff>152399</xdr:rowOff>
    </xdr:from>
    <xdr:to>
      <xdr:col>12</xdr:col>
      <xdr:colOff>457199</xdr:colOff>
      <xdr:row>70</xdr:row>
      <xdr:rowOff>66674</xdr:rowOff>
    </xdr:to>
    <xdr:graphicFrame macro="">
      <xdr:nvGraphicFramePr>
        <xdr:cNvPr id="26" name="Chart 12">
          <a:extLst>
            <a:ext uri="{FF2B5EF4-FFF2-40B4-BE49-F238E27FC236}">
              <a16:creationId xmlns:a16="http://schemas.microsoft.com/office/drawing/2014/main" id="{E097A5C2-C083-43D7-82AC-35E8597998BE}"/>
            </a:ext>
            <a:ext uri="{147F2762-F138-4A5C-976F-8EAC2B608ADB}">
              <a16:predDERef xmlns:a16="http://schemas.microsoft.com/office/drawing/2014/main" pred="{00000000-0008-0000-0D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71</xdr:row>
      <xdr:rowOff>161925</xdr:rowOff>
    </xdr:from>
    <xdr:to>
      <xdr:col>12</xdr:col>
      <xdr:colOff>504825</xdr:colOff>
      <xdr:row>89</xdr:row>
      <xdr:rowOff>66675</xdr:rowOff>
    </xdr:to>
    <xdr:graphicFrame macro="">
      <xdr:nvGraphicFramePr>
        <xdr:cNvPr id="27" name="Chart 13">
          <a:extLst>
            <a:ext uri="{FF2B5EF4-FFF2-40B4-BE49-F238E27FC236}">
              <a16:creationId xmlns:a16="http://schemas.microsoft.com/office/drawing/2014/main" id="{674A68B1-C9AD-4845-BF05-97B968074115}"/>
            </a:ext>
            <a:ext uri="{147F2762-F138-4A5C-976F-8EAC2B608ADB}">
              <a16:predDERef xmlns:a16="http://schemas.microsoft.com/office/drawing/2014/main" pred="{E097A5C2-C083-43D7-82AC-35E8597998B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85725</xdr:colOff>
      <xdr:row>90</xdr:row>
      <xdr:rowOff>76200</xdr:rowOff>
    </xdr:from>
    <xdr:to>
      <xdr:col>12</xdr:col>
      <xdr:colOff>514350</xdr:colOff>
      <xdr:row>107</xdr:row>
      <xdr:rowOff>152400</xdr:rowOff>
    </xdr:to>
    <xdr:graphicFrame macro="">
      <xdr:nvGraphicFramePr>
        <xdr:cNvPr id="28" name="Chart 14">
          <a:extLst>
            <a:ext uri="{FF2B5EF4-FFF2-40B4-BE49-F238E27FC236}">
              <a16:creationId xmlns:a16="http://schemas.microsoft.com/office/drawing/2014/main" id="{4ECA51D9-1355-4B0F-A88E-5BF97909F4F9}"/>
            </a:ext>
            <a:ext uri="{147F2762-F138-4A5C-976F-8EAC2B608ADB}">
              <a16:predDERef xmlns:a16="http://schemas.microsoft.com/office/drawing/2014/main" pred="{674A68B1-C9AD-4845-BF05-97B96807411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xdr:row>
      <xdr:rowOff>0</xdr:rowOff>
    </xdr:from>
    <xdr:to>
      <xdr:col>12</xdr:col>
      <xdr:colOff>466725</xdr:colOff>
      <xdr:row>18</xdr:row>
      <xdr:rowOff>66675</xdr:rowOff>
    </xdr:to>
    <xdr:graphicFrame macro="">
      <xdr:nvGraphicFramePr>
        <xdr:cNvPr id="6" name="Chart 2">
          <a:extLst>
            <a:ext uri="{FF2B5EF4-FFF2-40B4-BE49-F238E27FC236}">
              <a16:creationId xmlns:a16="http://schemas.microsoft.com/office/drawing/2014/main" id="{1807527A-4B0F-48E1-B539-F41542A1C301}"/>
            </a:ext>
            <a:ext uri="{147F2762-F138-4A5C-976F-8EAC2B608ADB}">
              <a16:predDERef xmlns:a16="http://schemas.microsoft.com/office/drawing/2014/main" pred="{4ECA51D9-1355-4B0F-A88E-5BF97909F4F9}"/>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104775</xdr:colOff>
      <xdr:row>109</xdr:row>
      <xdr:rowOff>161925</xdr:rowOff>
    </xdr:from>
    <xdr:to>
      <xdr:col>12</xdr:col>
      <xdr:colOff>533400</xdr:colOff>
      <xdr:row>127</xdr:row>
      <xdr:rowOff>76573</xdr:rowOff>
    </xdr:to>
    <xdr:graphicFrame macro="">
      <xdr:nvGraphicFramePr>
        <xdr:cNvPr id="29" name="Chart 1">
          <a:extLst>
            <a:ext uri="{FF2B5EF4-FFF2-40B4-BE49-F238E27FC236}">
              <a16:creationId xmlns:a16="http://schemas.microsoft.com/office/drawing/2014/main" id="{9204E0D5-5FAD-46DD-A594-D155D8AF8E52}"/>
            </a:ext>
            <a:ext uri="{147F2762-F138-4A5C-976F-8EAC2B608ADB}">
              <a16:predDERef xmlns:a16="http://schemas.microsoft.com/office/drawing/2014/main" pred="{1807527A-4B0F-48E1-B539-F41542A1C30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18</xdr:row>
      <xdr:rowOff>102394</xdr:rowOff>
    </xdr:from>
    <xdr:to>
      <xdr:col>10</xdr:col>
      <xdr:colOff>95250</xdr:colOff>
      <xdr:row>28</xdr:row>
      <xdr:rowOff>70644</xdr:rowOff>
    </xdr:to>
    <xdr:sp macro="" textlink="">
      <xdr:nvSpPr>
        <xdr:cNvPr id="2" name="Arrow: Striped Right 1">
          <a:extLst>
            <a:ext uri="{FF2B5EF4-FFF2-40B4-BE49-F238E27FC236}">
              <a16:creationId xmlns:a16="http://schemas.microsoft.com/office/drawing/2014/main" id="{4DB92A6D-FBB5-D7FB-0FA7-EB65D582A636}"/>
            </a:ext>
          </a:extLst>
        </xdr:cNvPr>
        <xdr:cNvSpPr/>
      </xdr:nvSpPr>
      <xdr:spPr>
        <a:xfrm>
          <a:off x="3181350" y="3102769"/>
          <a:ext cx="4533900" cy="1635125"/>
        </a:xfrm>
        <a:prstGeom prst="striped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af-ZA" sz="1600" kern="1200">
              <a:solidFill>
                <a:sysClr val="windowText" lastClr="000000"/>
              </a:solidFill>
            </a:rPr>
            <a:t>See supporting worksheets &gt;&gt;&gt;&gt;&gt;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2454754</xdr:colOff>
      <xdr:row>0</xdr:row>
      <xdr:rowOff>711479</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707669</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US" sz="1100">
              <a:solidFill>
                <a:schemeClr val="dk1"/>
              </a:solidFill>
              <a:latin typeface="+mn-lt"/>
              <a:ea typeface="+mn-lt"/>
              <a:cs typeface="+mn-lt"/>
            </a:rPr>
            <a:t>Navigate</a:t>
          </a:r>
        </a:p>
      </xdr:txBody>
    </xdr:sp>
    <xdr:clientData/>
  </xdr:twoCellAnchor>
  <xdr:twoCellAnchor editAs="oneCell">
    <xdr:from>
      <xdr:col>0</xdr:col>
      <xdr:colOff>0</xdr:colOff>
      <xdr:row>0</xdr:row>
      <xdr:rowOff>0</xdr:rowOff>
    </xdr:from>
    <xdr:to>
      <xdr:col>1</xdr:col>
      <xdr:colOff>2464914</xdr:colOff>
      <xdr:row>0</xdr:row>
      <xdr:rowOff>713384</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0</xdr:row>
      <xdr:rowOff>0</xdr:rowOff>
    </xdr:from>
    <xdr:to>
      <xdr:col>4</xdr:col>
      <xdr:colOff>116417</xdr:colOff>
      <xdr:row>1</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FD51C96A-A954-4DD7-84DC-9306775C4599}"/>
            </a:ext>
          </a:extLst>
        </xdr:cNvPr>
        <xdr:cNvSpPr/>
      </xdr:nvSpPr>
      <xdr:spPr>
        <a:xfrm>
          <a:off x="6775450" y="723900"/>
          <a:ext cx="872067"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97485</xdr:colOff>
      <xdr:row>0</xdr:row>
      <xdr:rowOff>713384</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ortherngasnetworks.co.uk/document-library/" TargetMode="External"/><Relationship Id="rId13" Type="http://schemas.openxmlformats.org/officeDocument/2006/relationships/hyperlink" Target="https://www.ssen.co.uk/about-ssen/library/financial-information-document-library/" TargetMode="External"/><Relationship Id="rId3" Type="http://schemas.openxmlformats.org/officeDocument/2006/relationships/hyperlink" Target="https://www.nationalgas.com/about-us/riio-2-2021-2026/how-we-are-performing" TargetMode="External"/><Relationship Id="rId7" Type="http://schemas.openxmlformats.org/officeDocument/2006/relationships/hyperlink" Target="https://cadentgas.com/about-us/reports-and-publications" TargetMode="External"/><Relationship Id="rId12" Type="http://schemas.openxmlformats.org/officeDocument/2006/relationships/hyperlink" Target="https://www.spenergynetworks.co.uk/pages/regulatory_financial_performance_report.aspx" TargetMode="External"/><Relationship Id="rId2" Type="http://schemas.openxmlformats.org/officeDocument/2006/relationships/hyperlink" Target="https://www.wwutilities.co.uk/about-us/our-company/publications/" TargetMode="External"/><Relationship Id="rId1" Type="http://schemas.openxmlformats.org/officeDocument/2006/relationships/hyperlink" Target="https://www.sgn.co.uk/reports-publications" TargetMode="External"/><Relationship Id="rId6" Type="http://schemas.openxmlformats.org/officeDocument/2006/relationships/hyperlink" Target="https://www.nationalgrid.com/electricity-transmission/who-we-are/riio-t2-performance/provide-value-for-money" TargetMode="External"/><Relationship Id="rId11" Type="http://schemas.openxmlformats.org/officeDocument/2006/relationships/hyperlink" Target="https://www.northernpowergrid.com/document-library/financial" TargetMode="External"/><Relationship Id="rId5" Type="http://schemas.openxmlformats.org/officeDocument/2006/relationships/hyperlink" Target="https://www.ssen-transmission.co.uk/information-centre/financial-information/" TargetMode="External"/><Relationship Id="rId10" Type="http://schemas.openxmlformats.org/officeDocument/2006/relationships/hyperlink" Target="https://yourpowerfuture.nationalgrid.co.uk/our-future-business-plan/regulatory-financial-performance-reporting-rfpr" TargetMode="External"/><Relationship Id="rId4" Type="http://schemas.openxmlformats.org/officeDocument/2006/relationships/hyperlink" Target="https://www.spenergynetworks.co.uk/pages/regulatory_financial_performance_report.aspx" TargetMode="External"/><Relationship Id="rId9" Type="http://schemas.openxmlformats.org/officeDocument/2006/relationships/hyperlink" Target="https://www.enwl.co.uk/about-us/financial-investor-relations/financial-reports/" TargetMode="External"/><Relationship Id="rId14" Type="http://schemas.openxmlformats.org/officeDocument/2006/relationships/hyperlink" Target="https://www.ukpowernetworks.co.uk/our-company/regulatory-inform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52"/>
  <sheetViews>
    <sheetView tabSelected="1" zoomScale="80" zoomScaleNormal="80" workbookViewId="0">
      <selection activeCell="D1" sqref="D1"/>
    </sheetView>
  </sheetViews>
  <sheetFormatPr defaultRowHeight="12.6"/>
  <cols>
    <col min="2" max="2" width="5.7265625" customWidth="1"/>
    <col min="3" max="3" width="26.7265625" customWidth="1"/>
    <col min="4" max="14" width="9.7265625" customWidth="1"/>
  </cols>
  <sheetData>
    <row r="1" spans="2:14" s="41" customFormat="1" ht="57" customHeight="1"/>
    <row r="4" spans="2:14">
      <c r="B4" s="475" t="str">
        <f>"RIIO-2 Regulatory financial performance data file : "&amp;Data!B4&amp;" for  Gas Distribution, Electricity Distribution, Gas Transmission and Electricity Transmission"</f>
        <v>RIIO-2 Regulatory financial performance data file : 2023-24 for  Gas Distribution, Electricity Distribution, Gas Transmission and Electricity Transmission</v>
      </c>
      <c r="C4" s="475"/>
      <c r="D4" s="475"/>
      <c r="E4" s="475"/>
      <c r="F4" s="475"/>
      <c r="G4" s="475"/>
      <c r="H4" s="475"/>
      <c r="I4" s="475"/>
      <c r="J4" s="475"/>
      <c r="K4" s="475"/>
      <c r="L4" s="475"/>
      <c r="M4" s="475"/>
      <c r="N4" s="475"/>
    </row>
    <row r="5" spans="2:14">
      <c r="B5" s="475"/>
      <c r="C5" s="475"/>
      <c r="D5" s="475"/>
      <c r="E5" s="475"/>
      <c r="F5" s="475"/>
      <c r="G5" s="475"/>
      <c r="H5" s="475"/>
      <c r="I5" s="475"/>
      <c r="J5" s="475"/>
      <c r="K5" s="475"/>
      <c r="L5" s="475"/>
      <c r="M5" s="475"/>
      <c r="N5" s="475"/>
    </row>
    <row r="6" spans="2:14">
      <c r="B6" s="475"/>
      <c r="C6" s="475"/>
      <c r="D6" s="475"/>
      <c r="E6" s="475"/>
      <c r="F6" s="475"/>
      <c r="G6" s="475"/>
      <c r="H6" s="475"/>
      <c r="I6" s="475"/>
      <c r="J6" s="475"/>
      <c r="K6" s="475"/>
      <c r="L6" s="475"/>
      <c r="M6" s="475"/>
      <c r="N6" s="475"/>
    </row>
    <row r="7" spans="2:14">
      <c r="B7" s="475"/>
      <c r="C7" s="475"/>
      <c r="D7" s="475"/>
      <c r="E7" s="475"/>
      <c r="F7" s="475"/>
      <c r="G7" s="475"/>
      <c r="H7" s="475"/>
      <c r="I7" s="475"/>
      <c r="J7" s="475"/>
      <c r="K7" s="475"/>
      <c r="L7" s="475"/>
      <c r="M7" s="475"/>
      <c r="N7" s="475"/>
    </row>
    <row r="8" spans="2:14">
      <c r="B8" s="475"/>
      <c r="C8" s="475"/>
      <c r="D8" s="475"/>
      <c r="E8" s="475"/>
      <c r="F8" s="475"/>
      <c r="G8" s="475"/>
      <c r="H8" s="475"/>
      <c r="I8" s="475"/>
      <c r="J8" s="475"/>
      <c r="K8" s="475"/>
      <c r="L8" s="475"/>
      <c r="M8" s="475"/>
      <c r="N8" s="475"/>
    </row>
    <row r="9" spans="2:14">
      <c r="B9" s="475"/>
      <c r="C9" s="475"/>
      <c r="D9" s="475"/>
      <c r="E9" s="475"/>
      <c r="F9" s="475"/>
      <c r="G9" s="475"/>
      <c r="H9" s="475"/>
      <c r="I9" s="475"/>
      <c r="J9" s="475"/>
      <c r="K9" s="475"/>
      <c r="L9" s="475"/>
      <c r="M9" s="475"/>
      <c r="N9" s="475"/>
    </row>
    <row r="10" spans="2:14">
      <c r="B10" s="475"/>
      <c r="C10" s="475"/>
      <c r="D10" s="475"/>
      <c r="E10" s="475"/>
      <c r="F10" s="475"/>
      <c r="G10" s="475"/>
      <c r="H10" s="475"/>
      <c r="I10" s="475"/>
      <c r="J10" s="475"/>
      <c r="K10" s="475"/>
      <c r="L10" s="475"/>
      <c r="M10" s="475"/>
      <c r="N10" s="475"/>
    </row>
    <row r="11" spans="2:14">
      <c r="B11" s="475"/>
      <c r="C11" s="475"/>
      <c r="D11" s="475"/>
      <c r="E11" s="475"/>
      <c r="F11" s="475"/>
      <c r="G11" s="475"/>
      <c r="H11" s="475"/>
      <c r="I11" s="475"/>
      <c r="J11" s="475"/>
      <c r="K11" s="475"/>
      <c r="L11" s="475"/>
      <c r="M11" s="475"/>
      <c r="N11" s="475"/>
    </row>
    <row r="12" spans="2:14">
      <c r="B12" s="475"/>
      <c r="C12" s="475"/>
      <c r="D12" s="475"/>
      <c r="E12" s="475"/>
      <c r="F12" s="475"/>
      <c r="G12" s="475"/>
      <c r="H12" s="475"/>
      <c r="I12" s="475"/>
      <c r="J12" s="475"/>
      <c r="K12" s="475"/>
      <c r="L12" s="475"/>
      <c r="M12" s="475"/>
      <c r="N12" s="475"/>
    </row>
    <row r="13" spans="2:14">
      <c r="B13" s="475"/>
      <c r="C13" s="475"/>
      <c r="D13" s="475"/>
      <c r="E13" s="475"/>
      <c r="F13" s="475"/>
      <c r="G13" s="475"/>
      <c r="H13" s="475"/>
      <c r="I13" s="475"/>
      <c r="J13" s="475"/>
      <c r="K13" s="475"/>
      <c r="L13" s="475"/>
      <c r="M13" s="475"/>
      <c r="N13" s="475"/>
    </row>
    <row r="14" spans="2:14">
      <c r="B14" s="475"/>
      <c r="C14" s="475"/>
      <c r="D14" s="475"/>
      <c r="E14" s="475"/>
      <c r="F14" s="475"/>
      <c r="G14" s="475"/>
      <c r="H14" s="475"/>
      <c r="I14" s="475"/>
      <c r="J14" s="475"/>
      <c r="K14" s="475"/>
      <c r="L14" s="475"/>
      <c r="M14" s="475"/>
      <c r="N14" s="475"/>
    </row>
    <row r="15" spans="2:14">
      <c r="B15" s="475"/>
      <c r="C15" s="475"/>
      <c r="D15" s="475"/>
      <c r="E15" s="475"/>
      <c r="F15" s="475"/>
      <c r="G15" s="475"/>
      <c r="H15" s="475"/>
      <c r="I15" s="475"/>
      <c r="J15" s="475"/>
      <c r="K15" s="475"/>
      <c r="L15" s="475"/>
      <c r="M15" s="475"/>
      <c r="N15" s="475"/>
    </row>
    <row r="16" spans="2:14">
      <c r="B16" s="475"/>
      <c r="C16" s="475"/>
      <c r="D16" s="475"/>
      <c r="E16" s="475"/>
      <c r="F16" s="475"/>
      <c r="G16" s="475"/>
      <c r="H16" s="475"/>
      <c r="I16" s="475"/>
      <c r="J16" s="475"/>
      <c r="K16" s="475"/>
      <c r="L16" s="475"/>
      <c r="M16" s="475"/>
      <c r="N16" s="475"/>
    </row>
    <row r="17" spans="2:14">
      <c r="B17" s="475"/>
      <c r="C17" s="475"/>
      <c r="D17" s="475"/>
      <c r="E17" s="475"/>
      <c r="F17" s="475"/>
      <c r="G17" s="475"/>
      <c r="H17" s="475"/>
      <c r="I17" s="475"/>
      <c r="J17" s="475"/>
      <c r="K17" s="475"/>
      <c r="L17" s="475"/>
      <c r="M17" s="475"/>
      <c r="N17" s="475"/>
    </row>
    <row r="18" spans="2:14">
      <c r="B18" s="475"/>
      <c r="C18" s="475"/>
      <c r="D18" s="475"/>
      <c r="E18" s="475"/>
      <c r="F18" s="475"/>
      <c r="G18" s="475"/>
      <c r="H18" s="475"/>
      <c r="I18" s="475"/>
      <c r="J18" s="475"/>
      <c r="K18" s="475"/>
      <c r="L18" s="475"/>
      <c r="M18" s="475"/>
      <c r="N18" s="475"/>
    </row>
    <row r="19" spans="2:14">
      <c r="B19" s="475"/>
      <c r="C19" s="475"/>
      <c r="D19" s="475"/>
      <c r="E19" s="475"/>
      <c r="F19" s="475"/>
      <c r="G19" s="475"/>
      <c r="H19" s="475"/>
      <c r="I19" s="475"/>
      <c r="J19" s="475"/>
      <c r="K19" s="475"/>
      <c r="L19" s="475"/>
      <c r="M19" s="475"/>
      <c r="N19" s="475"/>
    </row>
    <row r="20" spans="2:14">
      <c r="B20" s="475"/>
      <c r="C20" s="475"/>
      <c r="D20" s="475"/>
      <c r="E20" s="475"/>
      <c r="F20" s="475"/>
      <c r="G20" s="475"/>
      <c r="H20" s="475"/>
      <c r="I20" s="475"/>
      <c r="J20" s="475"/>
      <c r="K20" s="475"/>
      <c r="L20" s="475"/>
      <c r="M20" s="475"/>
      <c r="N20" s="475"/>
    </row>
    <row r="21" spans="2:14">
      <c r="B21" s="475"/>
      <c r="C21" s="475"/>
      <c r="D21" s="475"/>
      <c r="E21" s="475"/>
      <c r="F21" s="475"/>
      <c r="G21" s="475"/>
      <c r="H21" s="475"/>
      <c r="I21" s="475"/>
      <c r="J21" s="475"/>
      <c r="K21" s="475"/>
      <c r="L21" s="475"/>
      <c r="M21" s="475"/>
      <c r="N21" s="475"/>
    </row>
    <row r="24" spans="2:14" ht="39" customHeight="1">
      <c r="B24" s="474" t="s">
        <v>0</v>
      </c>
      <c r="C24" s="474"/>
      <c r="D24" s="474"/>
      <c r="E24" s="474"/>
      <c r="F24" s="474"/>
      <c r="G24" s="474"/>
      <c r="H24" s="474"/>
      <c r="I24" s="474"/>
      <c r="J24" s="474"/>
      <c r="K24" s="474"/>
      <c r="L24" s="474"/>
      <c r="M24" s="474"/>
      <c r="N24" s="474"/>
    </row>
    <row r="25" spans="2:14" ht="7.5" customHeight="1" thickBot="1">
      <c r="B25" s="94"/>
      <c r="C25" s="94"/>
      <c r="D25" s="94"/>
      <c r="E25" s="94"/>
      <c r="F25" s="94"/>
      <c r="G25" s="94"/>
      <c r="H25" s="94"/>
      <c r="I25" s="94"/>
      <c r="J25" s="94"/>
      <c r="K25" s="94"/>
      <c r="L25" s="94"/>
      <c r="M25" s="94"/>
      <c r="N25" s="94"/>
    </row>
    <row r="26" spans="2:14" ht="13.2" thickBot="1">
      <c r="B26" s="102" t="s">
        <v>1</v>
      </c>
      <c r="C26" s="103" t="s">
        <v>2</v>
      </c>
    </row>
    <row r="27" spans="2:14">
      <c r="B27" s="100">
        <v>1</v>
      </c>
      <c r="C27" s="101" t="s">
        <v>3</v>
      </c>
    </row>
    <row r="28" spans="2:14">
      <c r="B28" s="95">
        <v>2</v>
      </c>
      <c r="C28" s="246" t="s">
        <v>4</v>
      </c>
    </row>
    <row r="29" spans="2:14">
      <c r="B29" s="95">
        <v>3</v>
      </c>
      <c r="C29" s="247" t="s">
        <v>5</v>
      </c>
    </row>
    <row r="30" spans="2:14">
      <c r="B30" s="95">
        <v>4</v>
      </c>
      <c r="C30" s="247" t="s">
        <v>6</v>
      </c>
    </row>
    <row r="31" spans="2:14">
      <c r="B31" s="95">
        <v>5</v>
      </c>
      <c r="C31" s="247" t="s">
        <v>7</v>
      </c>
    </row>
    <row r="32" spans="2:14">
      <c r="B32" s="95">
        <v>6</v>
      </c>
      <c r="C32" s="247" t="s">
        <v>8</v>
      </c>
    </row>
    <row r="33" spans="2:3">
      <c r="B33" s="95">
        <v>7</v>
      </c>
      <c r="C33" s="247" t="s">
        <v>9</v>
      </c>
    </row>
    <row r="34" spans="2:3">
      <c r="B34" s="95">
        <v>8</v>
      </c>
      <c r="C34" s="96" t="s">
        <v>10</v>
      </c>
    </row>
    <row r="35" spans="2:3">
      <c r="B35" s="95">
        <v>9</v>
      </c>
      <c r="C35" s="97" t="s">
        <v>11</v>
      </c>
    </row>
    <row r="36" spans="2:3">
      <c r="B36" s="95">
        <v>10</v>
      </c>
      <c r="C36" s="97" t="s">
        <v>12</v>
      </c>
    </row>
    <row r="37" spans="2:3">
      <c r="B37" s="95">
        <v>11</v>
      </c>
      <c r="C37" s="97" t="s">
        <v>13</v>
      </c>
    </row>
    <row r="38" spans="2:3">
      <c r="B38" s="95">
        <v>12</v>
      </c>
      <c r="C38" s="97" t="s">
        <v>14</v>
      </c>
    </row>
    <row r="39" spans="2:3">
      <c r="B39" s="95">
        <v>13</v>
      </c>
      <c r="C39" s="97" t="s">
        <v>15</v>
      </c>
    </row>
    <row r="40" spans="2:3">
      <c r="B40" s="95">
        <v>14</v>
      </c>
      <c r="C40" s="97" t="s">
        <v>16</v>
      </c>
    </row>
    <row r="41" spans="2:3">
      <c r="B41" s="95">
        <v>15</v>
      </c>
      <c r="C41" s="97" t="s">
        <v>17</v>
      </c>
    </row>
    <row r="42" spans="2:3">
      <c r="B42" s="95">
        <v>16</v>
      </c>
      <c r="C42" s="97" t="s">
        <v>18</v>
      </c>
    </row>
    <row r="43" spans="2:3">
      <c r="B43" s="95">
        <v>17</v>
      </c>
      <c r="C43" s="97" t="s">
        <v>19</v>
      </c>
    </row>
    <row r="44" spans="2:3">
      <c r="B44" s="95">
        <v>18</v>
      </c>
      <c r="C44" s="97" t="s">
        <v>20</v>
      </c>
    </row>
    <row r="45" spans="2:3">
      <c r="B45" s="95">
        <v>19</v>
      </c>
      <c r="C45" s="199" t="s">
        <v>21</v>
      </c>
    </row>
    <row r="46" spans="2:3">
      <c r="B46" s="95">
        <v>20</v>
      </c>
      <c r="C46" s="199" t="s">
        <v>22</v>
      </c>
    </row>
    <row r="47" spans="2:3">
      <c r="B47" s="95">
        <v>21</v>
      </c>
      <c r="C47" s="199" t="s">
        <v>23</v>
      </c>
    </row>
    <row r="48" spans="2:3">
      <c r="B48" s="95">
        <v>22</v>
      </c>
      <c r="C48" s="199" t="s">
        <v>24</v>
      </c>
    </row>
    <row r="49" spans="2:3">
      <c r="B49" s="95">
        <v>23</v>
      </c>
      <c r="C49" s="199" t="s">
        <v>25</v>
      </c>
    </row>
    <row r="50" spans="2:3">
      <c r="B50" s="95">
        <v>24</v>
      </c>
      <c r="C50" s="199" t="s">
        <v>26</v>
      </c>
    </row>
    <row r="51" spans="2:3">
      <c r="B51" s="95">
        <v>25</v>
      </c>
      <c r="C51" s="199" t="s">
        <v>27</v>
      </c>
    </row>
    <row r="52" spans="2:3" ht="13.2" thickBot="1">
      <c r="B52" s="98">
        <v>26</v>
      </c>
      <c r="C52" s="99" t="s">
        <v>28</v>
      </c>
    </row>
  </sheetData>
  <mergeCells count="2">
    <mergeCell ref="B24:N24"/>
    <mergeCell ref="B4:N21"/>
  </mergeCells>
  <hyperlinks>
    <hyperlink ref="B24:N24"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 ref="C27" location="'Links to individual RFPRs'!A1" display="'Links to individual RFPRs'" xr:uid="{5C8EC311-AFD8-406A-8D00-145285662A37}"/>
    <hyperlink ref="C28" location="Data!A1" display="Data" xr:uid="{4D878DBA-A5BD-472F-B68B-EA5EDF241401}"/>
    <hyperlink ref="C29" location="'Supporting narrative'!A1" display="'Supporting narrative'" xr:uid="{FC361A67-4F3A-4D7B-8756-6DDDB130F94D}"/>
    <hyperlink ref="C30" location="'RoRE by sector 2023-24'!A1" display="RoRE by sector 2023-24'" xr:uid="{55C57612-9A17-4A42-9EA1-5047DECB702D}"/>
    <hyperlink ref="C31" location="'RoRE position 2023-24'!A1" display="RoRE position 2023-24'" xr:uid="{C9D55780-6A71-451A-A731-5BA26380C246}"/>
    <hyperlink ref="C32" location="'RAV-Gearing'!A1" display="'RAV-Gearing'" xr:uid="{B502F766-7130-4D68-BE85-E09D50A1CC65}"/>
    <hyperlink ref="C34" location="'Charts (RIIO-2) '!A1" display="'Charts (RIIO-2) '" xr:uid="{47FAFED0-9021-478F-A578-18FFD669796F}"/>
    <hyperlink ref="C35" location="GD!A1" display="GD" xr:uid="{27568A83-77E1-4A84-B554-E868F94DA4F0}"/>
    <hyperlink ref="C36" location="Cadent!A1" display="Cadent" xr:uid="{588436CD-8BD3-4F8C-AA5E-607B50EBD2AF}"/>
    <hyperlink ref="C37" location="NGN!A1" display="NGN" xr:uid="{D55940C7-B8AC-4582-8299-E529182B9C6E}"/>
    <hyperlink ref="C38" location="SGN!A1" display="SGN" xr:uid="{D087F54D-8E05-4101-BFB5-B6621E9AD2DE}"/>
    <hyperlink ref="C39" location="WWU!A1" display="WWU" xr:uid="{28C4949E-297F-4AC0-B7BF-3B4ECF6458D8}"/>
    <hyperlink ref="C40" location="GT!A1" display="GT" xr:uid="{BA2E113B-0347-4444-A683-17917BDF373F}"/>
    <hyperlink ref="C41" location="ET!A1" display="ET" xr:uid="{894B9024-486D-47A1-8A31-F4BA5976F1C7}"/>
    <hyperlink ref="C42" location="NGET!A1" display="NGET" xr:uid="{24EF4F30-344C-4B4B-B04A-85F986132E8B}"/>
    <hyperlink ref="C43" location="SPT!A1" display="SPT" xr:uid="{F27F0902-E156-4774-8ED3-6B95B24B1C9B}"/>
    <hyperlink ref="C44" location="SHET!A1" display="SHET" xr:uid="{C8190BC6-307C-403F-AF47-CB1675F2A4C0}"/>
    <hyperlink ref="C52" location="'Input sheet - RAV Gearing'!A1" display="'Input sheet - RAV Gearing'" xr:uid="{2BAA5ED0-579A-4380-BBB9-871DBCC6B7E6}"/>
    <hyperlink ref="C33" location="'RIIO-2 totex performance '!A1" display="'RIIO-2 totex performance '" xr:uid="{2FBF07F7-4D4D-44CE-915E-BC75F5C37A27}"/>
    <hyperlink ref="C45" location="ED!A1" display="ED" xr:uid="{D1398426-6F61-4B1A-9645-FD1F05ACA639}"/>
    <hyperlink ref="C46" location="ENWL!A1" display="ENWL" xr:uid="{A929C1BC-DA90-435F-B9EE-80C12B38E9D2}"/>
    <hyperlink ref="C47" location="NGED!A1" display="NGED" xr:uid="{130EB237-065D-404D-883D-5FD05CBFE778}"/>
    <hyperlink ref="C48" location="NPg!A1" display="NPg" xr:uid="{F66DAAC8-B00B-4177-979C-5DB3FD1401CB}"/>
    <hyperlink ref="C49" location="SPEN!A1" display="SPEN" xr:uid="{456055C0-35A2-4060-BB49-853E08BBD2B8}"/>
    <hyperlink ref="C50" location="SSE!A1" display="SSE" xr:uid="{94454285-A623-44CB-8D14-B3671895169F}"/>
    <hyperlink ref="C51" location="UKPN!A1" display="UKPN" xr:uid="{C8B42B54-0FAC-4409-AF81-7139865DA2D3}"/>
  </hyperlinks>
  <pageMargins left="0.70866141732283472" right="0.70866141732283472" top="0.74803149606299213" bottom="0.74803149606299213" header="0.31496062992125984" footer="0.31496062992125984"/>
  <pageSetup paperSize="9" scale="85"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dimension ref="A1:O19"/>
  <sheetViews>
    <sheetView zoomScale="80" zoomScaleNormal="80" workbookViewId="0"/>
  </sheetViews>
  <sheetFormatPr defaultColWidth="9" defaultRowHeight="12.6"/>
  <cols>
    <col min="1" max="1" width="2.453125" customWidth="1"/>
    <col min="2" max="2" width="6.453125" style="51" bestFit="1" customWidth="1"/>
    <col min="3" max="3" width="14" customWidth="1"/>
    <col min="4" max="4" width="62.26953125" customWidth="1"/>
    <col min="5" max="5" width="71.26953125" customWidth="1"/>
    <col min="15" max="15" width="2.08984375" bestFit="1" customWidth="1"/>
  </cols>
  <sheetData>
    <row r="1" spans="1:15" ht="21">
      <c r="A1" s="46" t="s">
        <v>29</v>
      </c>
      <c r="B1" s="47"/>
      <c r="C1" s="47"/>
      <c r="D1" s="47"/>
      <c r="E1" s="47"/>
      <c r="F1" s="47"/>
      <c r="G1" s="47"/>
      <c r="H1" s="47"/>
      <c r="I1" s="48"/>
      <c r="J1" s="48"/>
      <c r="K1" s="49"/>
      <c r="L1" s="49"/>
      <c r="M1" s="49"/>
      <c r="N1" s="49"/>
      <c r="O1" s="50" t="s">
        <v>30</v>
      </c>
    </row>
    <row r="3" spans="1:15">
      <c r="B3" s="402" t="s">
        <v>31</v>
      </c>
      <c r="C3" s="401"/>
      <c r="D3" s="401"/>
    </row>
    <row r="5" spans="1:15">
      <c r="B5" s="392" t="s">
        <v>32</v>
      </c>
      <c r="C5" s="392" t="s">
        <v>33</v>
      </c>
      <c r="D5" s="393" t="s">
        <v>34</v>
      </c>
      <c r="E5" s="393" t="s">
        <v>35</v>
      </c>
    </row>
    <row r="6" spans="1:15" s="11" customFormat="1" ht="25.2">
      <c r="B6" s="393" t="s">
        <v>16</v>
      </c>
      <c r="C6" s="392" t="s">
        <v>36</v>
      </c>
      <c r="D6" s="395" t="s">
        <v>37</v>
      </c>
      <c r="E6" s="397"/>
    </row>
    <row r="7" spans="1:15" s="11" customFormat="1" ht="25.2">
      <c r="B7" s="476" t="s">
        <v>17</v>
      </c>
      <c r="C7" s="392" t="s">
        <v>38</v>
      </c>
      <c r="D7" s="395" t="s">
        <v>39</v>
      </c>
      <c r="E7" s="397"/>
    </row>
    <row r="8" spans="1:15" s="11" customFormat="1">
      <c r="B8" s="477"/>
      <c r="C8" s="392" t="s">
        <v>19</v>
      </c>
      <c r="D8" s="395" t="s">
        <v>40</v>
      </c>
      <c r="E8" s="397"/>
    </row>
    <row r="9" spans="1:15" s="11" customFormat="1">
      <c r="B9" s="478"/>
      <c r="C9" s="392" t="s">
        <v>20</v>
      </c>
      <c r="D9" s="395" t="s">
        <v>41</v>
      </c>
      <c r="E9" s="397"/>
    </row>
    <row r="10" spans="1:15" s="11" customFormat="1">
      <c r="B10" s="476" t="s">
        <v>11</v>
      </c>
      <c r="C10" s="392" t="s">
        <v>12</v>
      </c>
      <c r="D10" s="395" t="s">
        <v>42</v>
      </c>
      <c r="E10" s="397"/>
    </row>
    <row r="11" spans="1:15" s="11" customFormat="1" ht="20.399999999999999">
      <c r="B11" s="477"/>
      <c r="C11" s="392" t="s">
        <v>13</v>
      </c>
      <c r="D11" s="396" t="s">
        <v>43</v>
      </c>
      <c r="E11" s="394" t="s">
        <v>44</v>
      </c>
    </row>
    <row r="12" spans="1:15" s="11" customFormat="1">
      <c r="B12" s="477"/>
      <c r="C12" s="392" t="s">
        <v>14</v>
      </c>
      <c r="D12" s="396" t="s">
        <v>45</v>
      </c>
      <c r="E12" s="397"/>
    </row>
    <row r="13" spans="1:15" s="11" customFormat="1">
      <c r="B13" s="478"/>
      <c r="C13" s="392" t="s">
        <v>15</v>
      </c>
      <c r="D13" s="396" t="s">
        <v>46</v>
      </c>
      <c r="E13" s="394" t="s">
        <v>47</v>
      </c>
    </row>
    <row r="14" spans="1:15" s="11" customFormat="1">
      <c r="B14" s="476" t="s">
        <v>21</v>
      </c>
      <c r="C14" s="392" t="s">
        <v>24</v>
      </c>
      <c r="D14" s="399" t="s">
        <v>48</v>
      </c>
      <c r="E14" s="397"/>
    </row>
    <row r="15" spans="1:15" s="11" customFormat="1">
      <c r="B15" s="477"/>
      <c r="C15" s="392" t="s">
        <v>22</v>
      </c>
      <c r="D15" s="399" t="s">
        <v>49</v>
      </c>
      <c r="E15" s="397"/>
    </row>
    <row r="16" spans="1:15" s="11" customFormat="1">
      <c r="B16" s="477"/>
      <c r="C16" s="392" t="s">
        <v>23</v>
      </c>
      <c r="D16" s="399" t="s">
        <v>50</v>
      </c>
      <c r="E16" s="397"/>
    </row>
    <row r="17" spans="2:5" s="11" customFormat="1">
      <c r="B17" s="477"/>
      <c r="C17" s="392" t="s">
        <v>26</v>
      </c>
      <c r="D17" s="399" t="s">
        <v>51</v>
      </c>
      <c r="E17" s="397"/>
    </row>
    <row r="18" spans="2:5">
      <c r="B18" s="477"/>
      <c r="C18" s="392" t="s">
        <v>25</v>
      </c>
      <c r="D18" s="399" t="s">
        <v>40</v>
      </c>
      <c r="E18" s="398"/>
    </row>
    <row r="19" spans="2:5">
      <c r="B19" s="478"/>
      <c r="C19" s="392" t="s">
        <v>27</v>
      </c>
      <c r="D19" s="399" t="s">
        <v>52</v>
      </c>
      <c r="E19" s="398"/>
    </row>
  </sheetData>
  <mergeCells count="3">
    <mergeCell ref="B7:B9"/>
    <mergeCell ref="B10:B13"/>
    <mergeCell ref="B14:B19"/>
  </mergeCells>
  <hyperlinks>
    <hyperlink ref="D12" r:id="rId1" tooltip="https://www.sgn.co.uk/reports-publications" xr:uid="{647202D5-CC11-4FDC-8A3A-3EA37FCC8962}"/>
    <hyperlink ref="D13" r:id="rId2" xr:uid="{FD9BE56B-FFED-4495-8A74-BADE19DBCC93}"/>
    <hyperlink ref="D6" r:id="rId3" display="https://www.nationalgas.com/about-us/riio-2-2021-2026/how-we-are-performing" xr:uid="{D86258F2-C308-4322-9A5B-C3B4EF2F5494}"/>
    <hyperlink ref="D8" r:id="rId4" display="https://www.spenergynetworks.co.uk/pages/regulatory_financial_performance_report.aspx" xr:uid="{32A1FC93-466C-4487-807A-F552862B2214}"/>
    <hyperlink ref="D9" r:id="rId5" display="https://www.ssen-transmission.co.uk/information-centre/financial-information/" xr:uid="{3E1DFBEA-C96B-42B3-AB3C-14D67B326A3A}"/>
    <hyperlink ref="D7" r:id="rId6" display="https://www.nationalgrid.com/electricity-transmission/who-we-are/riio-t2-performance/provide-value-for-money" xr:uid="{F9EA5C69-5532-4941-A45E-0C6EB2A7CC67}"/>
    <hyperlink ref="D10" r:id="rId7" display="https://cadentgas.com/about-us/reports-and-publications" xr:uid="{6C5F88D0-CB95-4692-BCCA-A97FE14A6BC4}"/>
    <hyperlink ref="D11" r:id="rId8" xr:uid="{F0C7D899-FC07-48A6-BE6F-21F3754D630B}"/>
    <hyperlink ref="D15" r:id="rId9" display="https://www.enwl.co.uk/about-us/financial-investor-relations/financial-reports/" xr:uid="{8A274705-FC27-4596-9381-7A36BD1693B3}"/>
    <hyperlink ref="D16" r:id="rId10" display="https://yourpowerfuture.nationalgrid.co.uk/our-future-business-plan/regulatory-financial-performance-reporting-rfpr" xr:uid="{AA8C77C7-EBE0-4F9E-8A94-3261EBBF2F1C}"/>
    <hyperlink ref="D14" r:id="rId11" display="https://www.northernpowergrid.com/document-library/financial" xr:uid="{B421F0AC-AA3E-41CD-AB25-4CBEDBC64711}"/>
    <hyperlink ref="D18" r:id="rId12" display="https://www.spenergynetworks.co.uk/pages/regulatory_financial_performance_report.aspx" xr:uid="{56A5E97B-A39D-4E98-9970-1735BA06C97B}"/>
    <hyperlink ref="D17" r:id="rId13" display="https://www.ssen.co.uk/about-ssen/library/financial-information-document-library/" xr:uid="{2FCE0D5C-3C4C-40C7-AF01-D876EA780E31}"/>
    <hyperlink ref="D19" r:id="rId14" display="https://www.ukpowernetworks.co.uk/our-company/regulatory-information" xr:uid="{2C148CC1-5E21-4603-8E6B-B3176A45FDAD}"/>
  </hyperlink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40"/>
  <sheetViews>
    <sheetView zoomScale="80" zoomScaleNormal="80" workbookViewId="0"/>
  </sheetViews>
  <sheetFormatPr defaultRowHeight="12.6"/>
  <cols>
    <col min="1" max="1" width="24.453125" customWidth="1"/>
    <col min="2" max="2" width="15.36328125" bestFit="1" customWidth="1"/>
    <col min="3" max="3" width="10.36328125" bestFit="1" customWidth="1"/>
  </cols>
  <sheetData>
    <row r="1" spans="1:2" s="41" customFormat="1" ht="57" customHeight="1"/>
    <row r="3" spans="1:2" ht="25.2">
      <c r="A3" s="39" t="s">
        <v>53</v>
      </c>
      <c r="B3" s="38">
        <v>2024</v>
      </c>
    </row>
    <row r="4" spans="1:2">
      <c r="A4" s="39" t="s">
        <v>54</v>
      </c>
      <c r="B4" s="40" t="s">
        <v>55</v>
      </c>
    </row>
    <row r="6" spans="1:2">
      <c r="A6" t="s">
        <v>56</v>
      </c>
    </row>
    <row r="7" spans="1:2">
      <c r="A7" t="s">
        <v>57</v>
      </c>
    </row>
    <row r="10" spans="1:2">
      <c r="A10" t="s">
        <v>58</v>
      </c>
    </row>
    <row r="11" spans="1:2">
      <c r="A11" t="s">
        <v>59</v>
      </c>
    </row>
    <row r="13" spans="1:2">
      <c r="A13" t="s">
        <v>60</v>
      </c>
    </row>
    <row r="15" spans="1:2">
      <c r="A15" t="str">
        <f>CONCATENATE('RoRE position 2023-24'!B5,A13,'RoRE position 2023-24'!B4)</f>
        <v>RoRE based on Notional Gearing - RIIO-2 period</v>
      </c>
    </row>
    <row r="16" spans="1:2">
      <c r="A16" t="str">
        <f>CONCATENATE('RoRE position 2023-24'!B4,A13,"Totex out(under)performance")</f>
        <v>RIIO-2 period - Totex out(under)performance</v>
      </c>
    </row>
    <row r="19" spans="1:4">
      <c r="B19" s="33"/>
    </row>
    <row r="21" spans="1:4">
      <c r="A21" s="248" t="s">
        <v>61</v>
      </c>
      <c r="B21" s="248" t="s">
        <v>62</v>
      </c>
      <c r="C21" s="249" t="s">
        <v>63</v>
      </c>
      <c r="D21" s="249" t="s">
        <v>64</v>
      </c>
    </row>
    <row r="22" spans="1:4">
      <c r="A22" s="43">
        <v>2010</v>
      </c>
      <c r="B22" s="44" t="s">
        <v>65</v>
      </c>
      <c r="C22" s="91">
        <v>215.8</v>
      </c>
      <c r="D22" s="91">
        <v>215.8</v>
      </c>
    </row>
    <row r="23" spans="1:4">
      <c r="A23" s="43">
        <v>2011</v>
      </c>
      <c r="B23" s="44" t="s">
        <v>66</v>
      </c>
      <c r="C23" s="91">
        <v>226.5</v>
      </c>
      <c r="D23" s="91">
        <v>226.5</v>
      </c>
    </row>
    <row r="24" spans="1:4">
      <c r="A24" s="43">
        <v>2012</v>
      </c>
      <c r="B24" s="44" t="s">
        <v>67</v>
      </c>
      <c r="C24" s="91">
        <v>237.3</v>
      </c>
      <c r="D24" s="91">
        <v>237.3</v>
      </c>
    </row>
    <row r="25" spans="1:4">
      <c r="A25" s="43">
        <v>2013</v>
      </c>
      <c r="B25" s="44" t="s">
        <v>68</v>
      </c>
      <c r="C25" s="91">
        <v>244.7</v>
      </c>
      <c r="D25" s="91">
        <v>244.7</v>
      </c>
    </row>
    <row r="26" spans="1:4">
      <c r="A26" s="43">
        <v>2014</v>
      </c>
      <c r="B26" s="44" t="s">
        <v>69</v>
      </c>
      <c r="C26" s="91">
        <v>251.7</v>
      </c>
      <c r="D26" s="91">
        <v>251.7</v>
      </c>
    </row>
    <row r="27" spans="1:4">
      <c r="A27" s="43">
        <v>2015</v>
      </c>
      <c r="B27" s="44" t="s">
        <v>70</v>
      </c>
      <c r="C27" s="91">
        <v>256.7</v>
      </c>
      <c r="D27" s="91">
        <v>256.7</v>
      </c>
    </row>
    <row r="28" spans="1:4">
      <c r="A28" s="43">
        <v>2016</v>
      </c>
      <c r="B28" s="44" t="s">
        <v>71</v>
      </c>
      <c r="C28" s="91">
        <v>259.39999999999998</v>
      </c>
      <c r="D28" s="91">
        <v>259.39999999999998</v>
      </c>
    </row>
    <row r="29" spans="1:4">
      <c r="A29" s="43">
        <v>2017</v>
      </c>
      <c r="B29" s="44" t="s">
        <v>72</v>
      </c>
      <c r="C29" s="92">
        <v>265</v>
      </c>
      <c r="D29" s="92">
        <v>265</v>
      </c>
    </row>
    <row r="30" spans="1:4">
      <c r="A30" s="43">
        <v>2018</v>
      </c>
      <c r="B30" s="44" t="s">
        <v>73</v>
      </c>
      <c r="C30" s="91">
        <v>274.89999999999998</v>
      </c>
      <c r="D30" s="91">
        <v>274.89999999999998</v>
      </c>
    </row>
    <row r="31" spans="1:4">
      <c r="A31" s="43">
        <v>2019</v>
      </c>
      <c r="B31" s="44" t="s">
        <v>74</v>
      </c>
      <c r="C31" s="91">
        <v>283.3</v>
      </c>
      <c r="D31" s="91">
        <v>283.3</v>
      </c>
    </row>
    <row r="32" spans="1:4">
      <c r="A32" s="43">
        <v>2020</v>
      </c>
      <c r="B32" s="44" t="s">
        <v>75</v>
      </c>
      <c r="C32" s="93">
        <v>290.60000000000002</v>
      </c>
      <c r="D32" s="93">
        <v>290.60000000000002</v>
      </c>
    </row>
    <row r="33" spans="1:4">
      <c r="A33" s="43">
        <v>2021</v>
      </c>
      <c r="B33" s="44" t="s">
        <v>76</v>
      </c>
      <c r="C33" s="93">
        <v>294.2</v>
      </c>
      <c r="D33" s="93">
        <v>294.2</v>
      </c>
    </row>
    <row r="34" spans="1:4">
      <c r="A34" s="43">
        <v>2022</v>
      </c>
      <c r="B34" s="44" t="s">
        <v>77</v>
      </c>
      <c r="C34" s="93">
        <v>307.3</v>
      </c>
      <c r="D34" s="93">
        <v>311.2</v>
      </c>
    </row>
    <row r="35" spans="1:4">
      <c r="A35" s="43">
        <v>2023</v>
      </c>
      <c r="B35" s="44" t="s">
        <v>78</v>
      </c>
      <c r="C35" s="93">
        <v>334.3</v>
      </c>
      <c r="D35" s="93">
        <v>351.2</v>
      </c>
    </row>
    <row r="36" spans="1:4">
      <c r="A36" s="43">
        <v>2024</v>
      </c>
      <c r="B36" s="44" t="s">
        <v>55</v>
      </c>
      <c r="C36" s="93">
        <v>352.8</v>
      </c>
      <c r="D36" s="93">
        <v>376.7</v>
      </c>
    </row>
    <row r="37" spans="1:4">
      <c r="A37" s="43">
        <v>2025</v>
      </c>
      <c r="B37" s="44" t="s">
        <v>79</v>
      </c>
      <c r="C37" s="93">
        <v>364</v>
      </c>
      <c r="D37" s="93">
        <v>388.6</v>
      </c>
    </row>
    <row r="38" spans="1:4">
      <c r="A38" s="43">
        <v>2026</v>
      </c>
      <c r="B38" s="44" t="s">
        <v>80</v>
      </c>
      <c r="C38" s="93">
        <v>373.1</v>
      </c>
      <c r="D38" s="93">
        <v>398.3</v>
      </c>
    </row>
    <row r="39" spans="1:4">
      <c r="A39" s="43" t="s">
        <v>81</v>
      </c>
      <c r="B39" s="44" t="s">
        <v>82</v>
      </c>
      <c r="C39" s="93"/>
      <c r="D39" s="93">
        <v>407.2</v>
      </c>
    </row>
    <row r="40" spans="1:4">
      <c r="A40" s="43" t="s">
        <v>83</v>
      </c>
      <c r="B40" s="44" t="s">
        <v>84</v>
      </c>
      <c r="C40" s="93"/>
      <c r="D40" s="93">
        <v>415.7</v>
      </c>
    </row>
  </sheetData>
  <phoneticPr fontId="218" type="noConversion"/>
  <dataValidations count="2">
    <dataValidation type="list" allowBlank="1" showInputMessage="1" showErrorMessage="1" sqref="B3" xr:uid="{00000000-0002-0000-0100-000000000000}">
      <formula1>$A$22:$A$38</formula1>
    </dataValidation>
    <dataValidation type="list" allowBlank="1" showInputMessage="1" showErrorMessage="1" sqref="B4" xr:uid="{00000000-0002-0000-0100-000001000000}">
      <formula1>$B$22:$B$38</formula1>
    </dataValidation>
  </dataValidations>
  <pageMargins left="0.70866141732283472" right="0.70866141732283472" top="0.74803149606299213" bottom="0.74803149606299213" header="0.31496062992125984" footer="0.31496062992125984"/>
  <pageSetup paperSize="9"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2"/>
  <sheetViews>
    <sheetView zoomScale="80" zoomScaleNormal="80" workbookViewId="0"/>
  </sheetViews>
  <sheetFormatPr defaultColWidth="9.26953125" defaultRowHeight="10.199999999999999"/>
  <cols>
    <col min="1" max="1" width="3.08984375" style="105" customWidth="1"/>
    <col min="2" max="2" width="133.453125" style="105" bestFit="1" customWidth="1"/>
    <col min="3" max="16384" width="9.26953125" style="105"/>
  </cols>
  <sheetData>
    <row r="1" spans="1:4" s="112" customFormat="1" ht="59.1" customHeight="1"/>
    <row r="2" spans="1:4" ht="30.6">
      <c r="A2" s="113">
        <v>1</v>
      </c>
      <c r="B2" s="114" t="s">
        <v>85</v>
      </c>
      <c r="C2" s="112"/>
    </row>
    <row r="3" spans="1:4" ht="71.400000000000006">
      <c r="A3" s="113">
        <v>2</v>
      </c>
      <c r="B3" s="114" t="s">
        <v>86</v>
      </c>
      <c r="C3" s="112"/>
    </row>
    <row r="4" spans="1:4" ht="51">
      <c r="A4" s="113">
        <v>3</v>
      </c>
      <c r="B4" s="114" t="s">
        <v>87</v>
      </c>
      <c r="C4" s="112"/>
    </row>
    <row r="5" spans="1:4" ht="40.799999999999997">
      <c r="A5" s="113">
        <v>4</v>
      </c>
      <c r="B5" s="114" t="s">
        <v>88</v>
      </c>
      <c r="C5" s="112"/>
    </row>
    <row r="6" spans="1:4" ht="51">
      <c r="A6" s="113">
        <v>5</v>
      </c>
      <c r="B6" s="114" t="s">
        <v>89</v>
      </c>
      <c r="C6" s="112"/>
    </row>
    <row r="7" spans="1:4" ht="30.6">
      <c r="A7" s="113">
        <v>6</v>
      </c>
      <c r="B7" s="114" t="s">
        <v>90</v>
      </c>
      <c r="C7" s="112"/>
    </row>
    <row r="8" spans="1:4" ht="20.399999999999999">
      <c r="A8" s="113">
        <v>7</v>
      </c>
      <c r="B8" s="114" t="s">
        <v>91</v>
      </c>
      <c r="C8" s="112"/>
    </row>
    <row r="9" spans="1:4" ht="40.799999999999997">
      <c r="A9" s="113">
        <v>8</v>
      </c>
      <c r="B9" s="403" t="s">
        <v>92</v>
      </c>
      <c r="C9" s="112"/>
      <c r="D9" s="115"/>
    </row>
    <row r="10" spans="1:4">
      <c r="A10" s="113">
        <v>9</v>
      </c>
      <c r="B10" s="114" t="s">
        <v>93</v>
      </c>
      <c r="C10" s="112"/>
    </row>
    <row r="11" spans="1:4">
      <c r="C11" s="112"/>
    </row>
    <row r="12" spans="1:4">
      <c r="A12" s="116"/>
      <c r="C12" s="112"/>
    </row>
    <row r="13" spans="1:4">
      <c r="A13" s="116"/>
      <c r="C13" s="112"/>
    </row>
    <row r="14" spans="1:4">
      <c r="A14" s="116"/>
      <c r="C14" s="112"/>
    </row>
    <row r="15" spans="1:4">
      <c r="A15" s="116"/>
      <c r="C15" s="112"/>
    </row>
    <row r="16" spans="1:4">
      <c r="A16" s="116"/>
    </row>
    <row r="17" spans="1:1">
      <c r="A17" s="116"/>
    </row>
    <row r="18" spans="1:1">
      <c r="A18" s="116"/>
    </row>
    <row r="19" spans="1:1">
      <c r="A19" s="116"/>
    </row>
    <row r="20" spans="1:1">
      <c r="A20" s="116"/>
    </row>
    <row r="21" spans="1:1">
      <c r="A21" s="116"/>
    </row>
    <row r="22" spans="1:1">
      <c r="A22" s="116"/>
    </row>
    <row r="23" spans="1:1">
      <c r="A23" s="116"/>
    </row>
    <row r="24" spans="1:1">
      <c r="A24" s="116"/>
    </row>
    <row r="25" spans="1:1">
      <c r="A25" s="116"/>
    </row>
    <row r="26" spans="1:1">
      <c r="A26" s="116"/>
    </row>
    <row r="27" spans="1:1">
      <c r="A27" s="116"/>
    </row>
    <row r="28" spans="1:1">
      <c r="A28" s="116"/>
    </row>
    <row r="29" spans="1:1">
      <c r="A29" s="116"/>
    </row>
    <row r="30" spans="1:1">
      <c r="A30" s="116"/>
    </row>
    <row r="31" spans="1:1">
      <c r="A31" s="116"/>
    </row>
    <row r="32" spans="1:1">
      <c r="A32" s="116"/>
    </row>
    <row r="33" spans="1:1">
      <c r="A33" s="116"/>
    </row>
    <row r="34" spans="1:1">
      <c r="A34" s="116"/>
    </row>
    <row r="35" spans="1:1">
      <c r="A35" s="116"/>
    </row>
    <row r="36" spans="1:1">
      <c r="A36" s="116"/>
    </row>
    <row r="37" spans="1:1">
      <c r="A37" s="116"/>
    </row>
    <row r="38" spans="1:1">
      <c r="A38" s="116"/>
    </row>
    <row r="39" spans="1:1">
      <c r="A39" s="116"/>
    </row>
    <row r="40" spans="1:1">
      <c r="A40" s="116"/>
    </row>
    <row r="41" spans="1:1">
      <c r="A41" s="116"/>
    </row>
    <row r="42" spans="1:1">
      <c r="A42" s="116"/>
    </row>
    <row r="43" spans="1:1">
      <c r="A43" s="116"/>
    </row>
    <row r="44" spans="1:1">
      <c r="A44" s="116"/>
    </row>
    <row r="45" spans="1:1">
      <c r="A45" s="116"/>
    </row>
    <row r="46" spans="1:1">
      <c r="A46" s="116"/>
    </row>
    <row r="47" spans="1:1">
      <c r="A47" s="116"/>
    </row>
    <row r="48" spans="1:1">
      <c r="A48" s="116"/>
    </row>
    <row r="49" spans="1:1">
      <c r="A49" s="116"/>
    </row>
    <row r="50" spans="1:1">
      <c r="A50" s="116"/>
    </row>
    <row r="51" spans="1:1">
      <c r="A51" s="116"/>
    </row>
    <row r="52" spans="1:1">
      <c r="A52" s="116"/>
    </row>
  </sheetData>
  <pageMargins left="0.51181102362204722" right="0.51181102362204722" top="0.74803149606299213" bottom="0.74803149606299213" header="0.31496062992125984" footer="0.31496062992125984"/>
  <pageSetup paperSize="9" scale="91" fitToHeight="5"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6BBE-41F8-466B-A2FA-E4D62F87894D}">
  <sheetPr>
    <tabColor theme="7" tint="0.39997558519241921"/>
    <pageSetUpPr fitToPage="1"/>
  </sheetPr>
  <dimension ref="A1:K103"/>
  <sheetViews>
    <sheetView zoomScale="80" zoomScaleNormal="80" workbookViewId="0"/>
  </sheetViews>
  <sheetFormatPr defaultColWidth="9.26953125" defaultRowHeight="10.199999999999999"/>
  <cols>
    <col min="1" max="1" width="10.7265625" style="105" customWidth="1"/>
    <col min="2" max="2" width="56.453125" style="105" customWidth="1"/>
    <col min="3" max="6" width="7.90625" style="105" customWidth="1"/>
    <col min="7" max="7" width="8.26953125" style="105" customWidth="1"/>
    <col min="8" max="8" width="43.90625" style="105" bestFit="1" customWidth="1"/>
    <col min="9" max="9" width="8" style="105" customWidth="1"/>
    <col min="10" max="16384" width="9.26953125" style="105"/>
  </cols>
  <sheetData>
    <row r="1" spans="1:10" s="112" customFormat="1" ht="57" customHeight="1"/>
    <row r="2" spans="1:10" s="112" customFormat="1">
      <c r="A2" s="154" t="s">
        <v>94</v>
      </c>
      <c r="G2" s="105"/>
      <c r="H2" s="105"/>
      <c r="I2" s="105"/>
      <c r="J2" s="105"/>
    </row>
    <row r="4" spans="1:10" ht="12.75" customHeight="1">
      <c r="A4" s="110" t="s">
        <v>95</v>
      </c>
      <c r="B4" s="173" t="s">
        <v>59</v>
      </c>
      <c r="C4" s="479" t="s">
        <v>96</v>
      </c>
      <c r="D4" s="479"/>
      <c r="E4" s="479"/>
      <c r="F4" s="479"/>
      <c r="J4" s="109"/>
    </row>
    <row r="5" spans="1:10" s="109" customFormat="1">
      <c r="B5" s="156" t="s">
        <v>56</v>
      </c>
      <c r="C5" s="125" t="s">
        <v>11</v>
      </c>
      <c r="D5" s="125" t="s">
        <v>17</v>
      </c>
      <c r="E5" s="125" t="s">
        <v>16</v>
      </c>
      <c r="F5" s="125" t="s">
        <v>21</v>
      </c>
    </row>
    <row r="6" spans="1:10">
      <c r="B6" s="126" t="s">
        <v>97</v>
      </c>
      <c r="C6" s="157">
        <f>SUM(C20,C22)</f>
        <v>5.115773074085863E-2</v>
      </c>
      <c r="D6" s="157">
        <f>SUM(C46,C48)</f>
        <v>4.7192878493251419E-2</v>
      </c>
      <c r="E6" s="157">
        <f>SUM(C72,C74)</f>
        <v>4.8981960052903437E-2</v>
      </c>
      <c r="F6" s="157">
        <f>SUM(I20,I22)</f>
        <v>5.5519125291902928E-2</v>
      </c>
    </row>
    <row r="7" spans="1:10">
      <c r="B7" s="126" t="s">
        <v>98</v>
      </c>
      <c r="C7" s="157">
        <f>C21</f>
        <v>-6.8418825219951863E-3</v>
      </c>
      <c r="D7" s="157">
        <f>C47</f>
        <v>9.4088281415518477E-3</v>
      </c>
      <c r="E7" s="157">
        <f>C73</f>
        <v>8.3649235729465349E-4</v>
      </c>
      <c r="F7" s="157">
        <f>I21</f>
        <v>4.9184182221923885E-3</v>
      </c>
    </row>
    <row r="8" spans="1:10">
      <c r="B8" s="126" t="s">
        <v>99</v>
      </c>
      <c r="C8" s="157">
        <f>SUM(C23:C37)</f>
        <v>4.5417771791297858E-4</v>
      </c>
      <c r="D8" s="157">
        <f>SUM(C49:C63)</f>
        <v>1.0496187902675942E-3</v>
      </c>
      <c r="E8" s="157">
        <f>SUM(C75:C89)</f>
        <v>1.0057001474320512E-3</v>
      </c>
      <c r="F8" s="157">
        <f>SUM(I23:I39)</f>
        <v>3.8707000870940116E-3</v>
      </c>
    </row>
    <row r="9" spans="1:10" s="110" customFormat="1" ht="15" customHeight="1">
      <c r="B9" s="158" t="s">
        <v>100</v>
      </c>
      <c r="C9" s="159">
        <f>SUM(C6:C8)</f>
        <v>4.4770025936776425E-2</v>
      </c>
      <c r="D9" s="159">
        <f>SUM(D6:D8)</f>
        <v>5.7651325425070864E-2</v>
      </c>
      <c r="E9" s="159">
        <f>SUM(E6:E8)</f>
        <v>5.0824152557630141E-2</v>
      </c>
      <c r="F9" s="221">
        <f>SUM(F6:F8)</f>
        <v>6.4308243601189335E-2</v>
      </c>
    </row>
    <row r="10" spans="1:10">
      <c r="B10" s="126" t="s">
        <v>101</v>
      </c>
      <c r="C10" s="157">
        <f>SUM(C39:C40)</f>
        <v>2.6331010880561861E-2</v>
      </c>
      <c r="D10" s="157">
        <f>SUM(C65:C66)</f>
        <v>2.631807698937301E-2</v>
      </c>
      <c r="E10" s="157">
        <f>SUM(C91:C92)</f>
        <v>7.4164106271945906E-3</v>
      </c>
      <c r="F10" s="167">
        <f>SUM(I41:I42)</f>
        <v>1.8830893049782062E-2</v>
      </c>
    </row>
    <row r="11" spans="1:10" s="110" customFormat="1">
      <c r="B11" s="121" t="s">
        <v>102</v>
      </c>
      <c r="C11" s="160">
        <f>SUM(C9:C10)</f>
        <v>7.1101036817338287E-2</v>
      </c>
      <c r="D11" s="160">
        <f>SUM(D9:D10)</f>
        <v>8.3969402414443867E-2</v>
      </c>
      <c r="E11" s="160">
        <f>SUM(E9:E10)</f>
        <v>5.8240563184824734E-2</v>
      </c>
      <c r="F11" s="160">
        <f>SUM(F9:F10)</f>
        <v>8.313913665097139E-2</v>
      </c>
    </row>
    <row r="12" spans="1:10" ht="6.6" customHeight="1">
      <c r="A12" s="110"/>
      <c r="B12" s="126"/>
      <c r="C12" s="161"/>
      <c r="D12" s="161"/>
      <c r="E12" s="161"/>
      <c r="F12" s="161"/>
    </row>
    <row r="13" spans="1:10" s="110" customFormat="1" ht="27" customHeight="1">
      <c r="B13" s="158" t="str">
        <f>"Totex out(under) performance (allowance compared to actual/forecast spend) - "&amp;B4</f>
        <v>Totex out(under) performance (allowance compared to actual/forecast spend) - RIIO-2 period</v>
      </c>
      <c r="C13" s="409">
        <f>IF($B$4="RIIO-2 period",GD!$K$101,GD!$J$101)</f>
        <v>-5.2240300412828296E-2</v>
      </c>
      <c r="D13" s="409">
        <f>IF($B$4="RIIO-2 period",ET!$K$101,ET!$J$101)</f>
        <v>6.8715347585822109E-2</v>
      </c>
      <c r="E13" s="409">
        <f>IF($B$4="RIIO-2 period",GT!K101,GT!$J$101)</f>
        <v>1.1455030493176074E-2</v>
      </c>
      <c r="F13" s="409">
        <f>IF($B$4="RIIO-2 period",ED!$K$107,ED!$J$107)</f>
        <v>2.653951546055109E-2</v>
      </c>
      <c r="G13" s="410" t="s">
        <v>103</v>
      </c>
    </row>
    <row r="14" spans="1:10">
      <c r="C14" s="162"/>
    </row>
    <row r="15" spans="1:10" ht="12">
      <c r="A15" s="448" t="s">
        <v>104</v>
      </c>
      <c r="C15" s="162"/>
    </row>
    <row r="16" spans="1:10">
      <c r="C16" s="162"/>
    </row>
    <row r="18" spans="1:9">
      <c r="A18" s="110" t="s">
        <v>105</v>
      </c>
      <c r="B18" s="155" t="str">
        <f>$B$4</f>
        <v>RIIO-2 period</v>
      </c>
      <c r="C18" s="163"/>
      <c r="G18" s="110" t="s">
        <v>106</v>
      </c>
      <c r="H18" s="155" t="str">
        <f>$B$4</f>
        <v>RIIO-2 period</v>
      </c>
      <c r="I18" s="163"/>
    </row>
    <row r="19" spans="1:9">
      <c r="B19" s="155" t="str">
        <f>$B$5</f>
        <v>RoRE based on Notional Gearing</v>
      </c>
      <c r="C19" s="123" t="s">
        <v>11</v>
      </c>
      <c r="H19" s="155" t="str">
        <f>$B$5</f>
        <v>RoRE based on Notional Gearing</v>
      </c>
      <c r="I19" s="123" t="s">
        <v>21</v>
      </c>
    </row>
    <row r="20" spans="1:9">
      <c r="B20" s="164" t="str">
        <f>Cadent!$B11</f>
        <v>Allowed Equity Return</v>
      </c>
      <c r="C20" s="157">
        <f>IF($B$4=Data!$A$10,(IF($B$5=Data!$A$6,GD!$J11,GD!$J38)),(IF($B$5=Data!$A$6,GD!$K11,GD!$K38)))</f>
        <v>5.0985137943241304E-2</v>
      </c>
      <c r="H20" s="164" t="s">
        <v>107</v>
      </c>
      <c r="I20" s="157">
        <f>IF($B$4=Data!$A$10,(IF($B$5=Data!$A$6,ED!$J11,ED!$J40)),(IF($B$5=Data!$A$6,ED!$K11,ED!$K40)))</f>
        <v>5.4975150237532869E-2</v>
      </c>
    </row>
    <row r="21" spans="1:9">
      <c r="B21" s="164" t="str">
        <f>Cadent!$B12</f>
        <v>Totex outperformance</v>
      </c>
      <c r="C21" s="157">
        <f>IF($B$4=Data!$A$10,(IF($B$5=Data!$A$6,GD!$J12,GD!$J39)),(IF($B$5=Data!$A$6,GD!$K12,GD!$K39)))</f>
        <v>-6.8418825219951863E-3</v>
      </c>
      <c r="H21" s="164" t="s">
        <v>108</v>
      </c>
      <c r="I21" s="157">
        <f>IF($B$4=Data!$A$10,(IF($B$5=Data!$A$6,ED!$J12,ED!$J41)),(IF($B$5=Data!$A$6,ED!$K12,ED!$K41)))</f>
        <v>4.9184182221923885E-3</v>
      </c>
    </row>
    <row r="22" spans="1:9">
      <c r="B22" s="164" t="str">
        <f>Cadent!$B13</f>
        <v>Business Plan Incentive</v>
      </c>
      <c r="C22" s="157">
        <f>IF($B$4=Data!$A$10,(IF($B$5=Data!$A$6,GD!$J13,GD!$J40)),(IF($B$5=Data!$A$6,GD!$K13,GD!$K40)))</f>
        <v>1.7259279761732462E-4</v>
      </c>
      <c r="H22" s="164" t="s">
        <v>109</v>
      </c>
      <c r="I22" s="157">
        <f>IF($B$4=Data!$A$10,(IF($B$5=Data!$A$6,ED!$J13,ED!$J42)),(IF($B$5=Data!$A$6,ED!$K13,ED!$K42)))</f>
        <v>5.4397505437005645E-4</v>
      </c>
    </row>
    <row r="23" spans="1:9">
      <c r="B23" s="164" t="str">
        <f>Cadent!$B14</f>
        <v>Customer Satisfaction Survey ODI</v>
      </c>
      <c r="C23" s="157">
        <f>IF($B$4=Data!$A$10,(IF($B$5=Data!$A$6,GD!$J14,GD!$J41)),(IF($B$5=Data!$A$6,GD!$K14,GD!$K41)))</f>
        <v>1.2701197509175774E-3</v>
      </c>
      <c r="H23" s="164" t="s">
        <v>110</v>
      </c>
      <c r="I23" s="157">
        <f>IF($B$4=Data!$A$10,(IF($B$5=Data!$A$6,ED!$J14,ED!$J43)),(IF($B$5=Data!$A$6,ED!$K14,ED!$K43)))</f>
        <v>5.2223094222775463E-4</v>
      </c>
    </row>
    <row r="24" spans="1:9">
      <c r="B24" s="164" t="str">
        <f>Cadent!$B15</f>
        <v>Complaints metric ODI</v>
      </c>
      <c r="C24" s="157">
        <f>IF($B$4=Data!$A$10,(IF($B$5=Data!$A$6,GD!$J15,GD!$J42)),(IF($B$5=Data!$A$6,GD!$K15,GD!$K42)))</f>
        <v>0</v>
      </c>
      <c r="H24" s="164" t="s">
        <v>111</v>
      </c>
      <c r="I24" s="157">
        <f>IF($B$4=Data!$A$10,(IF($B$5=Data!$A$6,ED!$J15,ED!$J44)),(IF($B$5=Data!$A$6,ED!$K15,ED!$K44)))</f>
        <v>1.3818529553722718E-3</v>
      </c>
    </row>
    <row r="25" spans="1:9">
      <c r="B25" s="164" t="str">
        <f>Cadent!$B16</f>
        <v>Unplanned Interruption Mean Duration ODI [NGN, SGN and WWU]</v>
      </c>
      <c r="C25" s="157">
        <f>IF($B$4=Data!$A$10,(IF($B$5=Data!$A$6,GD!$J16,GD!$J43)),(IF($B$5=Data!$A$6,GD!$K16,GD!$K43)))</f>
        <v>-1.1355142545017376E-4</v>
      </c>
      <c r="H25" s="164" t="s">
        <v>112</v>
      </c>
      <c r="I25" s="157">
        <f>IF($B$4=Data!$A$10,(IF($B$5=Data!$A$6,ED!$J16,ED!$J45)),(IF($B$5=Data!$A$6,ED!$K16,ED!$K45)))</f>
        <v>1.2852468559543335E-4</v>
      </c>
    </row>
    <row r="26" spans="1:9">
      <c r="B26" s="164" t="str">
        <f>Cadent!$B17</f>
        <v>Unplanned Interruption Mean Duration ODI [Cadent only]</v>
      </c>
      <c r="C26" s="157">
        <f>IF($B$4=Data!$A$10,(IF($B$5=Data!$A$6,GD!$J17,GD!$J44)),(IF($B$5=Data!$A$6,GD!$K17,GD!$K44)))</f>
        <v>0</v>
      </c>
      <c r="H26" s="164" t="s">
        <v>113</v>
      </c>
      <c r="I26" s="157">
        <f>IF($B$4=Data!$A$10,(IF($B$5=Data!$A$6,ED!$J17,ED!$J46)),(IF($B$5=Data!$A$6,ED!$K17,ED!$K46)))</f>
        <v>-1.1920876251173876E-5</v>
      </c>
    </row>
    <row r="27" spans="1:9">
      <c r="B27" s="164" t="str">
        <f>Cadent!$B18</f>
        <v>Shrinkage Management ODI</v>
      </c>
      <c r="C27" s="157">
        <f>IF($B$4=Data!$A$10,(IF($B$5=Data!$A$6,GD!$J18,GD!$J45)),(IF($B$5=Data!$A$6,GD!$K18,GD!$K45)))</f>
        <v>1.2885439217836519E-4</v>
      </c>
      <c r="H27" s="164" t="s">
        <v>114</v>
      </c>
      <c r="I27" s="157">
        <f>IF($B$4=Data!$A$10,(IF($B$5=Data!$A$6,ED!$J18,ED!$J47)),(IF($B$5=Data!$A$6,ED!$K18,ED!$K47)))</f>
        <v>6.9201359573386762E-4</v>
      </c>
    </row>
    <row r="28" spans="1:9">
      <c r="B28" s="164" t="str">
        <f>Cadent!$B19</f>
        <v>Collaborative streetworks ODI [Cadent Lon &amp; EoE, SGN So only]</v>
      </c>
      <c r="C28" s="157">
        <f>IF($B$4=Data!$A$10,(IF($B$5=Data!$A$6,GD!$J19,GD!$J46)),(IF($B$5=Data!$A$6,GD!$K19,GD!$K46)))</f>
        <v>2.371516496127523E-4</v>
      </c>
      <c r="H28" s="164" t="s">
        <v>115</v>
      </c>
      <c r="I28" s="157">
        <f>IF($B$4=Data!$A$10,(IF($B$5=Data!$A$6,ED!$J19,ED!$J48)),(IF($B$5=Data!$A$6,ED!$K19,ED!$K48)))</f>
        <v>1.2493644446034239E-3</v>
      </c>
    </row>
    <row r="29" spans="1:9">
      <c r="B29" s="164" t="str">
        <f>Cadent!$B20</f>
        <v>Network innovation input for RORE</v>
      </c>
      <c r="C29" s="157">
        <f>IF($B$4=Data!$A$10,(IF($B$5=Data!$A$6,GD!$J20,GD!$J47)),(IF($B$5=Data!$A$6,GD!$K20,GD!$K47)))</f>
        <v>-3.0990771370833603E-4</v>
      </c>
      <c r="H29" s="164" t="s">
        <v>116</v>
      </c>
      <c r="I29" s="157">
        <f>IF($B$4=Data!$A$10,(IF($B$5=Data!$A$6,ED!$J20,ED!$J49)),(IF($B$5=Data!$A$6,ED!$K20,ED!$K49)))</f>
        <v>5.2348487545159356E-5</v>
      </c>
    </row>
    <row r="30" spans="1:9">
      <c r="B30" s="164" t="str">
        <f>Cadent!$B21</f>
        <v>Carry-over Network innovation input for RORE</v>
      </c>
      <c r="C30" s="157">
        <f>IF($B$4=Data!$A$10,(IF($B$5=Data!$A$6,GD!$J21,GD!$J48)),(IF($B$5=Data!$A$6,GD!$K21,GD!$K48)))</f>
        <v>-1.5181303175363138E-5</v>
      </c>
      <c r="H30" s="164" t="s">
        <v>117</v>
      </c>
      <c r="I30" s="157">
        <f>IF($B$4=Data!$A$10,(IF($B$5=Data!$A$6,ED!$J21,ED!$J50)),(IF($B$5=Data!$A$6,ED!$K21,ED!$K50)))</f>
        <v>1.2296195465175049E-4</v>
      </c>
    </row>
    <row r="31" spans="1:9">
      <c r="B31" s="164" t="str">
        <f>Cadent!$B22</f>
        <v>Strategic innovation input for RORE</v>
      </c>
      <c r="C31" s="157">
        <f>IF($B$4=Data!$A$10,(IF($B$5=Data!$A$6,GD!$J22,GD!$J49)),(IF($B$5=Data!$A$6,GD!$K22,GD!$K49)))</f>
        <v>-1.6268554205567227E-6</v>
      </c>
      <c r="H31" s="164" t="s">
        <v>118</v>
      </c>
      <c r="I31" s="157">
        <f>IF($B$4=Data!$A$10,(IF($B$5=Data!$A$6,ED!$J22,ED!$J51)),(IF($B$5=Data!$A$6,ED!$K22,ED!$K51)))</f>
        <v>-9.429180189233908E-5</v>
      </c>
    </row>
    <row r="32" spans="1:9">
      <c r="B32" s="164" t="str">
        <f>Cadent!$B23</f>
        <v>H100 shareholder contribution</v>
      </c>
      <c r="C32" s="157">
        <f>IF($B$4=Data!$A$10,(IF($B$5=Data!$A$6,GD!$J23,GD!$J50)),(IF($B$5=Data!$A$6,GD!$K23,GD!$K50)))</f>
        <v>-5.8391459070054435E-5</v>
      </c>
      <c r="H32" s="164" t="s">
        <v>119</v>
      </c>
      <c r="I32" s="157">
        <f>IF($B$4=Data!$A$10,(IF($B$5=Data!$A$6,ED!$J23,ED!$J52)),(IF($B$5=Data!$A$6,ED!$K23,ED!$K52)))</f>
        <v>-1.1193630893420852E-5</v>
      </c>
    </row>
    <row r="33" spans="1:9">
      <c r="B33" s="164" t="str">
        <f>Cadent!$B24</f>
        <v>LTS shareholder contribution</v>
      </c>
      <c r="C33" s="157">
        <f>IF($B$4=Data!$A$10,(IF($B$5=Data!$A$6,GD!$J24,GD!$J51)),(IF($B$5=Data!$A$6,GD!$K24,GD!$K51)))</f>
        <v>-1.3388466720478914E-5</v>
      </c>
      <c r="H33" s="164" t="s">
        <v>120</v>
      </c>
      <c r="I33" s="157">
        <f>IF($B$4=Data!$A$10,(IF($B$5=Data!$A$6,ED!$J24,ED!$J53)),(IF($B$5=Data!$A$6,ED!$K24,ED!$K53)))</f>
        <v>-3.424490865549217E-5</v>
      </c>
    </row>
    <row r="34" spans="1:9">
      <c r="B34" s="164" t="str">
        <f>Cadent!$B25</f>
        <v/>
      </c>
      <c r="C34" s="157">
        <f>IF($B$4=Data!$A$10,(IF($B$5=Data!$A$6,GD!$J25,GD!$J52)),(IF($B$5=Data!$A$6,GD!$K25,GD!$K52)))</f>
        <v>0</v>
      </c>
      <c r="H34" s="164">
        <v>0</v>
      </c>
      <c r="I34" s="157">
        <v>0</v>
      </c>
    </row>
    <row r="35" spans="1:9">
      <c r="B35" s="164" t="str">
        <f>Cadent!$B26</f>
        <v/>
      </c>
      <c r="C35" s="157">
        <f>IF($B$4=Data!$A$10,(IF($B$5=Data!$A$6,GD!$J26,GD!$J53)),(IF($B$5=Data!$A$6,GD!$K26,GD!$K53)))</f>
        <v>0</v>
      </c>
      <c r="H35" s="164">
        <v>0</v>
      </c>
      <c r="I35" s="157">
        <v>0</v>
      </c>
    </row>
    <row r="36" spans="1:9">
      <c r="B36" s="164" t="str">
        <f>Cadent!$B27</f>
        <v/>
      </c>
      <c r="C36" s="157">
        <f>IF($B$4=Data!$A$10,(IF($B$5=Data!$A$6,GD!$J27,GD!$J54)),(IF($B$5=Data!$A$6,GD!$K27,GD!$K54)))</f>
        <v>0</v>
      </c>
      <c r="H36" s="164">
        <v>0</v>
      </c>
      <c r="I36" s="157">
        <v>0</v>
      </c>
    </row>
    <row r="37" spans="1:9">
      <c r="B37" s="164" t="str">
        <f>Cadent!$B28</f>
        <v>Penalties and fines (Other Activities)</v>
      </c>
      <c r="C37" s="157">
        <f>IF($B$4=Data!$A$10,(IF($B$5=Data!$A$6,GD!$J28,GD!$J55)),(IF($B$5=Data!$A$6,GD!$K28,GD!$K55)))</f>
        <v>-6.6990085125075355E-4</v>
      </c>
      <c r="H37" s="164">
        <v>0</v>
      </c>
      <c r="I37" s="157">
        <v>0</v>
      </c>
    </row>
    <row r="38" spans="1:9">
      <c r="B38" s="165" t="str">
        <f>Cadent!$B29</f>
        <v>RoRE - Operational performance</v>
      </c>
      <c r="C38" s="159">
        <f>SUM(C20:C37)</f>
        <v>4.4770025936776425E-2</v>
      </c>
      <c r="H38" s="164">
        <v>0</v>
      </c>
      <c r="I38" s="157">
        <v>0</v>
      </c>
    </row>
    <row r="39" spans="1:9">
      <c r="B39" s="164" t="str">
        <f>IF($B$19=Data!$A$6,Cadent!$B30,Cadent!$B57)</f>
        <v>Debt performance - at notional gearing</v>
      </c>
      <c r="C39" s="157">
        <f>IF($B$4=Data!$A$10,(IF($B$5=Data!$A$6,GD!$J30,GD!$J57)),(IF($B$5=Data!$A$6,GD!$K30,GD!$K57)))</f>
        <v>2.2667725588460363E-2</v>
      </c>
      <c r="H39" s="204" t="s">
        <v>121</v>
      </c>
      <c r="I39" s="205">
        <f>IF($B$4=Data!$A$10,(IF($B$5=Data!$A$6,ED!$J30,ED!$J59)),(IF($B$5=Data!$A$6,ED!$K30,ED!$K59)))</f>
        <v>-1.2694576094322431E-4</v>
      </c>
    </row>
    <row r="40" spans="1:9">
      <c r="B40" s="164" t="str">
        <f>IF($B$19=Data!$A$6,Cadent!$B31,Cadent!$B58)</f>
        <v>Tax performance - at notional gearing</v>
      </c>
      <c r="C40" s="157">
        <f>IF($B$4=Data!$A$10,(IF($B$5=Data!$A$6,GD!$J31,GD!$J58)),(IF($B$5=Data!$A$6,GD!$K31,GD!$K58)))</f>
        <v>3.6632852921014963E-3</v>
      </c>
      <c r="H40" s="206" t="s">
        <v>122</v>
      </c>
      <c r="I40" s="207">
        <f>SUM(I20:I39)</f>
        <v>6.4308243601189322E-2</v>
      </c>
    </row>
    <row r="41" spans="1:9">
      <c r="B41" s="165" t="str">
        <f>Cadent!$B32</f>
        <v>RoRE - including financing and tax</v>
      </c>
      <c r="C41" s="159">
        <f>SUM(C38:C40)</f>
        <v>7.1101036817338287E-2</v>
      </c>
      <c r="H41" s="208" t="s">
        <v>123</v>
      </c>
      <c r="I41" s="170">
        <f>IF($B$4=Data!$A$10,(IF($B$5=Data!$A$6,ED!$J32,ED!$J61)),(IF($B$5=Data!$A$6,ED!$K32,ED!$K61)))</f>
        <v>1.8247947074950557E-2</v>
      </c>
    </row>
    <row r="42" spans="1:9">
      <c r="C42" s="166"/>
      <c r="H42" s="146" t="s">
        <v>124</v>
      </c>
      <c r="I42" s="170">
        <f>IF($B$4=Data!$A$10,(IF($B$5=Data!$A$6,ED!$J33,ED!$J62)),(IF($B$5=Data!$A$6,ED!$K33,ED!$K62)))</f>
        <v>5.829459748315039E-4</v>
      </c>
    </row>
    <row r="43" spans="1:9">
      <c r="C43" s="166"/>
      <c r="H43" s="174" t="s">
        <v>125</v>
      </c>
      <c r="I43" s="207">
        <f>SUM(I40:I42)</f>
        <v>8.313913665097139E-2</v>
      </c>
    </row>
    <row r="44" spans="1:9">
      <c r="A44" s="110" t="s">
        <v>126</v>
      </c>
      <c r="B44" s="155" t="str">
        <f>$B$4</f>
        <v>RIIO-2 period</v>
      </c>
      <c r="C44" s="126"/>
    </row>
    <row r="45" spans="1:9">
      <c r="B45" s="155" t="str">
        <f>$B$5</f>
        <v>RoRE based on Notional Gearing</v>
      </c>
      <c r="C45" s="123" t="s">
        <v>17</v>
      </c>
    </row>
    <row r="46" spans="1:9">
      <c r="B46" s="164" t="str">
        <f>ET!B11</f>
        <v>Allowed Equity Return</v>
      </c>
      <c r="C46" s="157">
        <f>IF($B$4=Data!$A$10,(IF($B$5=Data!$A$6,ET!$J11,ET!$J38)),(IF($B$5=Data!$A$6,ET!$K11,ET!$K38)))</f>
        <v>4.7957968059825835E-2</v>
      </c>
    </row>
    <row r="47" spans="1:9">
      <c r="B47" s="164" t="str">
        <f>ET!B12</f>
        <v>Totex outperformance</v>
      </c>
      <c r="C47" s="157">
        <f>IF($B$4=Data!$A$10,(IF($B$5=Data!$A$6,ET!$J12,ET!$J39)),(IF($B$5=Data!$A$6,ET!$K12,ET!$K39)))</f>
        <v>9.4088281415518477E-3</v>
      </c>
    </row>
    <row r="48" spans="1:9">
      <c r="B48" s="164" t="str">
        <f>ET!B13</f>
        <v>Business Plan Incentive</v>
      </c>
      <c r="C48" s="157">
        <f>IF($B$4=Data!$A$10,(IF($B$5=Data!$A$6,ET!$J13,ET!$J40)),(IF($B$5=Data!$A$6,ET!$K13,ET!$K40)))</f>
        <v>-7.650895665744159E-4</v>
      </c>
    </row>
    <row r="49" spans="2:3">
      <c r="B49" s="164" t="str">
        <f>ET!B14</f>
        <v xml:space="preserve">Energy not supplied ODI </v>
      </c>
      <c r="C49" s="157">
        <f>IF($B$4=Data!$A$10,(IF($B$5=Data!$A$6,ET!$J14,ET!$J41)),(IF($B$5=Data!$A$6,ET!$K14,ET!$K41)))</f>
        <v>2.8626878657822877E-4</v>
      </c>
    </row>
    <row r="50" spans="2:3">
      <c r="B50" s="164" t="str">
        <f>ET!B15</f>
        <v xml:space="preserve">Insulation And Interruption Gas emissions ODI </v>
      </c>
      <c r="C50" s="157">
        <f>IF($B$4=Data!$A$10,(IF($B$5=Data!$A$6,ET!$J15,ET!$J42)),(IF($B$5=Data!$A$6,ET!$K15,ET!$K42)))</f>
        <v>2.4329072148237689E-4</v>
      </c>
    </row>
    <row r="51" spans="2:3">
      <c r="B51" s="164" t="str">
        <f>ET!B16</f>
        <v xml:space="preserve">Timely Connections ODI </v>
      </c>
      <c r="C51" s="157">
        <f>IF($B$4=Data!$A$10,(IF($B$5=Data!$A$6,ET!$J16,ET!$J43)),(IF($B$5=Data!$A$6,ET!$K16,ET!$K43)))</f>
        <v>-1.3927985335102821E-5</v>
      </c>
    </row>
    <row r="52" spans="2:3">
      <c r="B52" s="164" t="str">
        <f>ET!B17</f>
        <v xml:space="preserve">Quality of connections satisfaction survey ODI </v>
      </c>
      <c r="C52" s="157">
        <f>IF($B$4=Data!$A$10,(IF($B$5=Data!$A$6,ET!$J17,ET!$J44)),(IF($B$5=Data!$A$6,ET!$K17,ET!$K44)))</f>
        <v>-1.9763780296122918E-4</v>
      </c>
    </row>
    <row r="53" spans="2:3">
      <c r="B53" s="164" t="str">
        <f>ET!B18</f>
        <v>SO-TO Optimisation ODI</v>
      </c>
      <c r="C53" s="157">
        <f>IF($B$4=Data!$A$10,(IF($B$5=Data!$A$6,ET!$J18,ET!$J45)),(IF($B$5=Data!$A$6,ET!$K18,ET!$K45)))</f>
        <v>8.3497419437532599E-4</v>
      </c>
    </row>
    <row r="54" spans="2:3">
      <c r="B54" s="164" t="str">
        <f>ET!B19</f>
        <v xml:space="preserve">Environmental scorecard ODI </v>
      </c>
      <c r="C54" s="157">
        <f>IF($B$4=Data!$A$10,(IF($B$5=Data!$A$6,ET!$J19,ET!$J46)),(IF($B$5=Data!$A$6,ET!$K19,ET!$K46)))</f>
        <v>9.2994362583876021E-5</v>
      </c>
    </row>
    <row r="55" spans="2:3">
      <c r="B55" s="164" t="str">
        <f>ET!B20</f>
        <v>Network innovation input for RORE</v>
      </c>
      <c r="C55" s="157">
        <f>IF($B$4=Data!$A$10,(IF($B$5=Data!$A$6,ET!$J20,ET!$J47)),(IF($B$5=Data!$A$6,ET!$K20,ET!$K47)))</f>
        <v>-1.5323175194300475E-4</v>
      </c>
    </row>
    <row r="56" spans="2:3">
      <c r="B56" s="164" t="str">
        <f>ET!B21</f>
        <v>Carry-over Network innovation input for RORE</v>
      </c>
      <c r="C56" s="157">
        <f>IF($B$4=Data!$A$10,(IF($B$5=Data!$A$6,ET!$J21,ET!$J48)),(IF($B$5=Data!$A$6,ET!$K21,ET!$K48)))</f>
        <v>-2.8192704733731216E-6</v>
      </c>
    </row>
    <row r="57" spans="2:3">
      <c r="B57" s="164" t="str">
        <f>ET!B22</f>
        <v>Strategic innovation input for RORE</v>
      </c>
      <c r="C57" s="157">
        <f>IF($B$4=Data!$A$10,(IF($B$5=Data!$A$6,ET!$J22,ET!$J49)),(IF($B$5=Data!$A$6,ET!$K22,ET!$K49)))</f>
        <v>-4.0292464039503505E-5</v>
      </c>
    </row>
    <row r="58" spans="2:3">
      <c r="B58" s="164" t="str">
        <f>ET!B23</f>
        <v/>
      </c>
      <c r="C58" s="157">
        <f>IF($B$4=Data!$A$10,(IF($B$5=Data!$A$6,ET!$J23,ET!$J50)),(IF($B$5=Data!$A$6,ET!$K23,ET!$K50)))</f>
        <v>0</v>
      </c>
    </row>
    <row r="59" spans="2:3">
      <c r="B59" s="164" t="str">
        <f>ET!B24</f>
        <v/>
      </c>
      <c r="C59" s="157">
        <f>IF($B$4=Data!$A$10,(IF($B$5=Data!$A$6,ET!$J24,ET!$J51)),(IF($B$5=Data!$A$6,ET!$K24,ET!$K51)))</f>
        <v>0</v>
      </c>
    </row>
    <row r="60" spans="2:3">
      <c r="B60" s="164" t="str">
        <f>ET!B25</f>
        <v/>
      </c>
      <c r="C60" s="157">
        <f>IF($B$4=Data!$A$10,(IF($B$5=Data!$A$6,ET!$J25,ET!$J52)),(IF($B$5=Data!$A$6,ET!$K25,ET!$K52)))</f>
        <v>0</v>
      </c>
    </row>
    <row r="61" spans="2:3">
      <c r="B61" s="164" t="str">
        <f>ET!B26</f>
        <v/>
      </c>
      <c r="C61" s="157">
        <f>IF($B$4=Data!$A$10,(IF($B$5=Data!$A$6,ET!$J26,ET!$J53)),(IF($B$5=Data!$A$6,ET!$K26,ET!$K53)))</f>
        <v>0</v>
      </c>
    </row>
    <row r="62" spans="2:3">
      <c r="B62" s="164" t="str">
        <f>ET!B27</f>
        <v/>
      </c>
      <c r="C62" s="157">
        <f>IF($B$4=Data!$A$10,(IF($B$5=Data!$A$6,ET!$J27,ET!$J54)),(IF($B$5=Data!$A$6,ET!$K27,ET!$K54)))</f>
        <v>0</v>
      </c>
    </row>
    <row r="63" spans="2:3">
      <c r="B63" s="164" t="str">
        <f>ET!B28</f>
        <v>Penalties and fines (Other Activities)</v>
      </c>
      <c r="C63" s="157">
        <f>IF($B$4=Data!$A$10,(IF($B$5=Data!$A$6,ET!$J28,ET!$J55)),(IF($B$5=Data!$A$6,ET!$K28,ET!$K55)))</f>
        <v>0</v>
      </c>
    </row>
    <row r="64" spans="2:3">
      <c r="B64" s="165" t="str">
        <f>ET!B29</f>
        <v>RoRE - Operational performance</v>
      </c>
      <c r="C64" s="159">
        <f>SUM(C46:C63)</f>
        <v>5.7651325425070857E-2</v>
      </c>
    </row>
    <row r="65" spans="1:3">
      <c r="B65" s="164" t="str">
        <f>IF($B$45=Data!$A$6,ET!B30,ET!B57)</f>
        <v>Debt performance - at notional gearing</v>
      </c>
      <c r="C65" s="157">
        <f>IF($B$4=Data!$A$10,(IF($B$5=Data!$A$6,ET!$J30,ET!$J57)),(IF($B$5=Data!$A$6,ET!$K30,ET!$K57)))</f>
        <v>2.6545389679340389E-2</v>
      </c>
    </row>
    <row r="66" spans="1:3">
      <c r="B66" s="164" t="str">
        <f>IF($B$45=Data!$A$6,ET!B31,ET!B58)</f>
        <v>Tax performance - at notional gearing</v>
      </c>
      <c r="C66" s="157">
        <f>IF($B$4=Data!$A$10,(IF($B$5=Data!$A$6,ET!$J31,ET!$J58)),(IF($B$5=Data!$A$6,ET!$K31,ET!$K58)))</f>
        <v>-2.2731268996737918E-4</v>
      </c>
    </row>
    <row r="67" spans="1:3">
      <c r="B67" s="165" t="str">
        <f>ET!B32</f>
        <v>RoRE - including financing and tax</v>
      </c>
      <c r="C67" s="159">
        <f>SUM(C64:C66)</f>
        <v>8.3969402414443867E-2</v>
      </c>
    </row>
    <row r="70" spans="1:3">
      <c r="A70" s="110" t="s">
        <v>127</v>
      </c>
      <c r="B70" s="155" t="str">
        <f>$B$4</f>
        <v>RIIO-2 period</v>
      </c>
      <c r="C70" s="126"/>
    </row>
    <row r="71" spans="1:3">
      <c r="B71" s="155" t="str">
        <f>$B$5</f>
        <v>RoRE based on Notional Gearing</v>
      </c>
      <c r="C71" s="123" t="s">
        <v>16</v>
      </c>
    </row>
    <row r="72" spans="1:3">
      <c r="B72" s="126" t="str">
        <f>GT!$B11</f>
        <v>Allowed Equity Return</v>
      </c>
      <c r="C72" s="157">
        <f>IF($B$4=Data!$A$10,(IF($B$5=Data!$A$6,GT!$J11,GT!$J38)),(IF($B$5=Data!$A$6,GT!$K11,GT!$K38)))</f>
        <v>5.0894340119933164E-2</v>
      </c>
    </row>
    <row r="73" spans="1:3">
      <c r="B73" s="126" t="str">
        <f>GT!$B12</f>
        <v>Totex outperformance</v>
      </c>
      <c r="C73" s="157">
        <f>IF($B$4=Data!$A$10,(IF($B$5=Data!$A$6,GT!$J12,GT!$J39)),(IF($B$5=Data!$A$6,GT!$K12,GT!$K39)))</f>
        <v>8.3649235729465349E-4</v>
      </c>
    </row>
    <row r="74" spans="1:3">
      <c r="B74" s="126" t="str">
        <f>GT!$B13</f>
        <v>Business Plan Incentive</v>
      </c>
      <c r="C74" s="157">
        <f>IF($B$4=Data!$A$10,(IF($B$5=Data!$A$6,GT!$J13,GT!$J40)),(IF($B$5=Data!$A$6,GT!$K13,GT!$K40)))</f>
        <v>-1.9123800670297285E-3</v>
      </c>
    </row>
    <row r="75" spans="1:3">
      <c r="B75" s="126" t="str">
        <f>GT!$B14</f>
        <v>Customer satisfaction survey ODI</v>
      </c>
      <c r="C75" s="157">
        <f>IF($B$4=Data!$A$10,(IF($B$5=Data!$A$6,GT!$J14,GT!$J41)),(IF($B$5=Data!$A$6,GT!$K14,GT!$K41)))</f>
        <v>1.6065050344142339E-3</v>
      </c>
    </row>
    <row r="76" spans="1:3">
      <c r="B76" s="126" t="str">
        <f>GT!$B15</f>
        <v>Environmental scorecard ODI</v>
      </c>
      <c r="C76" s="157">
        <f>IF($B$4=Data!$A$10,(IF($B$5=Data!$A$6,GT!$J15,GT!$J42)),(IF($B$5=Data!$A$6,GT!$K15,GT!$K42)))</f>
        <v>4.6122568079654887E-5</v>
      </c>
    </row>
    <row r="77" spans="1:3">
      <c r="B77" s="126" t="str">
        <f>GT!$B16</f>
        <v/>
      </c>
      <c r="C77" s="167">
        <f>IF($B$4=Data!$A$10,(IF($B$5=Data!$A$6,GT!$J16,GT!$J43)),(IF($B$5=Data!$A$6,GT!$K16,GT!$K43)))</f>
        <v>0</v>
      </c>
    </row>
    <row r="78" spans="1:3">
      <c r="B78" s="126" t="str">
        <f>GT!$B17</f>
        <v/>
      </c>
      <c r="C78" s="167">
        <f>IF($B$4=Data!$A$10,(IF($B$5=Data!$A$6,GT!$J17,GT!$J44)),(IF($B$5=Data!$A$6,GT!$K17,GT!$K44)))</f>
        <v>0</v>
      </c>
    </row>
    <row r="79" spans="1:3">
      <c r="B79" s="126" t="str">
        <f>GT!$B18</f>
        <v/>
      </c>
      <c r="C79" s="167">
        <f>IF($B$4=Data!$A$10,(IF($B$5=Data!$A$6,GT!$J18,GT!$J45)),(IF($B$5=Data!$A$6,GT!$K18,GT!$K45)))</f>
        <v>0</v>
      </c>
    </row>
    <row r="80" spans="1:3">
      <c r="B80" s="126" t="str">
        <f>GT!$B19</f>
        <v/>
      </c>
      <c r="C80" s="167">
        <f>IF($B$4=Data!$A$10,(IF($B$5=Data!$A$6,GT!$J19,GT!$J46)),(IF($B$5=Data!$A$6,GT!$K19,GT!$K46)))</f>
        <v>0</v>
      </c>
    </row>
    <row r="81" spans="2:3">
      <c r="B81" s="126" t="str">
        <f>GT!$B20</f>
        <v>Network innovation input for RORE</v>
      </c>
      <c r="C81" s="157">
        <f>IF($B$4=Data!$A$10,(IF($B$5=Data!$A$6,GT!$J20,GT!$J47)),(IF($B$5=Data!$A$6,GT!$K20,GT!$K47)))</f>
        <v>-2.4529376226434886E-4</v>
      </c>
    </row>
    <row r="82" spans="2:3">
      <c r="B82" s="126" t="str">
        <f>GT!$B21</f>
        <v>Carry-over Network innovation input for RORE</v>
      </c>
      <c r="C82" s="157">
        <f>IF($B$4=Data!$A$10,(IF($B$5=Data!$A$6,GT!$J21,GT!$J48)),(IF($B$5=Data!$A$6,GT!$K21,GT!$K48)))</f>
        <v>-9.9028912582170593E-7</v>
      </c>
    </row>
    <row r="83" spans="2:3">
      <c r="B83" s="126" t="str">
        <f>GT!$B22</f>
        <v>Strategic innovation input for RORE</v>
      </c>
      <c r="C83" s="157">
        <f>IF($B$4=Data!$A$10,(IF($B$5=Data!$A$6,GT!$J22,GT!$J49)),(IF($B$5=Data!$A$6,GT!$K22,GT!$K49)))</f>
        <v>-4.0064340367166712E-4</v>
      </c>
    </row>
    <row r="84" spans="2:3">
      <c r="B84" s="126" t="str">
        <f>GT!$B23</f>
        <v/>
      </c>
      <c r="C84" s="157">
        <f>IF($B$4=Data!$A$10,(IF($B$5=Data!$A$6,GT!$J23,GT!$J50)),(IF($B$5=Data!$A$6,GT!$K23,GT!$K50)))</f>
        <v>0</v>
      </c>
    </row>
    <row r="85" spans="2:3">
      <c r="B85" s="126" t="str">
        <f>GT!$B24</f>
        <v/>
      </c>
      <c r="C85" s="157">
        <f>IF($B$4=Data!$A$10,(IF($B$5=Data!$A$6,GT!$J24,GT!$J51)),(IF($B$5=Data!$A$6,GT!$K24,GT!$K51)))</f>
        <v>0</v>
      </c>
    </row>
    <row r="86" spans="2:3">
      <c r="B86" s="126" t="str">
        <f>GT!$B25</f>
        <v/>
      </c>
      <c r="C86" s="157">
        <f>IF($B$4=Data!$A$10,(IF($B$5=Data!$A$6,GT!$J25,GT!$J52)),(IF($B$5=Data!$A$6,GT!$K25,GT!$K52)))</f>
        <v>0</v>
      </c>
    </row>
    <row r="87" spans="2:3">
      <c r="B87" s="126" t="str">
        <f>GT!$B26</f>
        <v/>
      </c>
      <c r="C87" s="157">
        <f>IF($B$4=Data!$A$10,(IF($B$5=Data!$A$6,GT!$J26,GT!$J53)),(IF($B$5=Data!$A$6,GT!$K26,GT!$K53)))</f>
        <v>0</v>
      </c>
    </row>
    <row r="88" spans="2:3">
      <c r="B88" s="126" t="str">
        <f>GT!$B27</f>
        <v/>
      </c>
      <c r="C88" s="157">
        <f>IF($B$4=Data!$A$10,(IF($B$5=Data!$A$6,GT!$J27,GT!$J54)),(IF($B$5=Data!$A$6,GT!$K27,GT!$K54)))</f>
        <v>0</v>
      </c>
    </row>
    <row r="89" spans="2:3">
      <c r="B89" s="126" t="str">
        <f>GT!$B28</f>
        <v>Penalties and fines (Other Activities)</v>
      </c>
      <c r="C89" s="157">
        <f>IF($B$4=Data!$A$10,(IF($B$5=Data!$A$6,GT!$J28,GT!$J55)),(IF($B$5=Data!$A$6,GT!$K28,GT!$K55)))</f>
        <v>0</v>
      </c>
    </row>
    <row r="90" spans="2:3">
      <c r="B90" s="121" t="str">
        <f>GT!$B29</f>
        <v>RoRE - Operational performance</v>
      </c>
      <c r="C90" s="159">
        <f>SUM(C72:C89)</f>
        <v>5.0824152557630148E-2</v>
      </c>
    </row>
    <row r="91" spans="2:3">
      <c r="B91" s="126" t="str">
        <f>IF($B$71=Data!$A$6,GT!$B30,GT!$B57)</f>
        <v>Debt performance - at notional gearing</v>
      </c>
      <c r="C91" s="157">
        <f>IF($B$4=Data!$A$10,(IF($B$5=Data!$A$6,GT!$J30,GT!$J57)),(IF($B$5=Data!$A$6,GT!$K30,GT!$K57)))</f>
        <v>9.0025040766013997E-5</v>
      </c>
    </row>
    <row r="92" spans="2:3">
      <c r="B92" s="126" t="str">
        <f>IF($B$71=Data!$A$6,GT!$B31,GT!$B58)</f>
        <v>Tax performance - at notional gearing</v>
      </c>
      <c r="C92" s="157">
        <f>IF($B$4=Data!$A$10,(IF($B$5=Data!$A$6,GT!$J31,GT!$J58)),(IF($B$5=Data!$A$6,GT!$K31,GT!$K58)))</f>
        <v>7.3263855864285762E-3</v>
      </c>
    </row>
    <row r="93" spans="2:3">
      <c r="B93" s="121" t="str">
        <f>GT!$B32</f>
        <v>RoRE - including financing and tax</v>
      </c>
      <c r="C93" s="159">
        <f>SUM(C90:C92)</f>
        <v>5.8240563184824741E-2</v>
      </c>
    </row>
    <row r="97" spans="2:11">
      <c r="B97" s="168" t="s">
        <v>128</v>
      </c>
    </row>
    <row r="98" spans="2:11">
      <c r="B98" s="169" t="str">
        <f>$B$4</f>
        <v>RIIO-2 period</v>
      </c>
      <c r="C98" s="480" t="s">
        <v>96</v>
      </c>
      <c r="D98" s="480"/>
      <c r="E98" s="480"/>
      <c r="F98" s="480"/>
    </row>
    <row r="99" spans="2:11">
      <c r="B99" s="169" t="str">
        <f>$B$5</f>
        <v>RoRE based on Notional Gearing</v>
      </c>
      <c r="C99" s="400" t="s">
        <v>129</v>
      </c>
      <c r="D99" s="400" t="s">
        <v>130</v>
      </c>
      <c r="E99" s="400" t="s">
        <v>131</v>
      </c>
      <c r="F99" s="174" t="s">
        <v>132</v>
      </c>
    </row>
    <row r="100" spans="2:11">
      <c r="B100" s="146" t="s">
        <v>133</v>
      </c>
      <c r="C100" s="170">
        <f>C39</f>
        <v>2.2667725588460363E-2</v>
      </c>
      <c r="D100" s="170">
        <f>C65</f>
        <v>2.6545389679340389E-2</v>
      </c>
      <c r="E100" s="170">
        <f>C91</f>
        <v>9.0025040766013997E-5</v>
      </c>
      <c r="F100" s="170">
        <f>I41</f>
        <v>1.8247947074950557E-2</v>
      </c>
      <c r="H100" s="106"/>
      <c r="J100" s="171"/>
      <c r="K100" s="172"/>
    </row>
    <row r="101" spans="2:11">
      <c r="B101" s="146" t="s">
        <v>134</v>
      </c>
      <c r="C101" s="170">
        <f>C40</f>
        <v>3.6632852921014963E-3</v>
      </c>
      <c r="D101" s="170">
        <f>C66</f>
        <v>-2.2731268996737918E-4</v>
      </c>
      <c r="E101" s="170">
        <f>C92</f>
        <v>7.3263855864285762E-3</v>
      </c>
      <c r="F101" s="170">
        <f>I42</f>
        <v>5.829459748315039E-4</v>
      </c>
      <c r="H101" s="106"/>
      <c r="J101" s="171"/>
      <c r="K101" s="172"/>
    </row>
    <row r="102" spans="2:11">
      <c r="C102" s="171"/>
      <c r="D102" s="171"/>
      <c r="E102" s="171"/>
      <c r="F102" s="171"/>
    </row>
    <row r="103" spans="2:11">
      <c r="C103" s="171"/>
      <c r="D103" s="171"/>
      <c r="E103" s="171"/>
      <c r="F103" s="171"/>
    </row>
  </sheetData>
  <mergeCells count="2">
    <mergeCell ref="C4:F4"/>
    <mergeCell ref="C98:F98"/>
  </mergeCells>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7BFF39-7564-4880-A772-773D07DC02DB}">
          <x14:formula1>
            <xm:f>Data!$A$10:$A$11</xm:f>
          </x14:formula1>
          <xm:sqref>B4</xm:sqref>
        </x14:dataValidation>
        <x14:dataValidation type="list" allowBlank="1" showInputMessage="1" showErrorMessage="1" xr:uid="{18F09A27-2604-40EC-8320-8678A1F28D61}">
          <x14:formula1>
            <xm:f>Data!$A$6:$A$7</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034C-65D4-48E9-B3E5-5A78B578BE2C}">
  <sheetPr>
    <tabColor theme="7" tint="0.39997558519241921"/>
    <pageSetUpPr fitToPage="1"/>
  </sheetPr>
  <dimension ref="A1:AJ91"/>
  <sheetViews>
    <sheetView zoomScale="80" zoomScaleNormal="80" workbookViewId="0"/>
  </sheetViews>
  <sheetFormatPr defaultColWidth="9.26953125" defaultRowHeight="11.4"/>
  <cols>
    <col min="1" max="1" width="9.6328125" style="104" bestFit="1" customWidth="1"/>
    <col min="2" max="2" width="54.26953125" style="104" bestFit="1" customWidth="1"/>
    <col min="3" max="3" width="9.90625" style="104" customWidth="1"/>
    <col min="4" max="6" width="7.7265625" style="104" customWidth="1"/>
    <col min="7" max="7" width="9.08984375" style="104" customWidth="1"/>
    <col min="8" max="8" width="7.7265625" style="104" customWidth="1"/>
    <col min="9" max="9" width="9" style="104" customWidth="1"/>
    <col min="10" max="10" width="33.453125" style="104" customWidth="1"/>
    <col min="11" max="16" width="8.453125" style="104" bestFit="1" customWidth="1"/>
    <col min="17" max="20" width="7.7265625" style="104" customWidth="1"/>
    <col min="21" max="21" width="13.6328125" style="104" customWidth="1"/>
    <col min="22" max="22" width="49.6328125" style="104" customWidth="1"/>
    <col min="23" max="23" width="11.90625" style="104" customWidth="1"/>
    <col min="24" max="26" width="7.7265625" style="104" customWidth="1"/>
    <col min="27" max="27" width="11.7265625" style="104" customWidth="1"/>
    <col min="28" max="29" width="9.26953125" style="104"/>
    <col min="30" max="30" width="26.453125" style="104" customWidth="1"/>
    <col min="31" max="16384" width="9.26953125" style="104"/>
  </cols>
  <sheetData>
    <row r="1" spans="1:36" s="111" customFormat="1" ht="57" customHeight="1"/>
    <row r="2" spans="1:36" s="111" customFormat="1">
      <c r="A2" s="175" t="s">
        <v>135</v>
      </c>
    </row>
    <row r="3" spans="1:36" s="111" customFormat="1" ht="12" thickBot="1">
      <c r="A3" s="175"/>
      <c r="V3" s="176" t="str">
        <f>"ACTUAL VALUES FOR REPORTING YEAR"&amp;" "&amp; Data!B3</f>
        <v>ACTUAL VALUES FOR REPORTING YEAR 2024</v>
      </c>
    </row>
    <row r="4" spans="1:36">
      <c r="A4" s="177" t="s">
        <v>95</v>
      </c>
      <c r="B4" s="222" t="s">
        <v>59</v>
      </c>
      <c r="C4" s="484" t="s">
        <v>105</v>
      </c>
      <c r="D4" s="485"/>
      <c r="E4" s="485"/>
      <c r="F4" s="486"/>
      <c r="G4" s="484" t="s">
        <v>126</v>
      </c>
      <c r="H4" s="485"/>
      <c r="I4" s="486"/>
      <c r="J4" s="243" t="s">
        <v>127</v>
      </c>
      <c r="K4" s="481" t="s">
        <v>106</v>
      </c>
      <c r="L4" s="482"/>
      <c r="M4" s="482"/>
      <c r="N4" s="482"/>
      <c r="O4" s="482"/>
      <c r="P4" s="483"/>
      <c r="V4" s="239">
        <f>Data!B3</f>
        <v>2024</v>
      </c>
      <c r="W4" s="484" t="s">
        <v>105</v>
      </c>
      <c r="X4" s="485"/>
      <c r="Y4" s="485"/>
      <c r="Z4" s="486"/>
      <c r="AA4" s="484" t="s">
        <v>126</v>
      </c>
      <c r="AB4" s="485"/>
      <c r="AC4" s="486"/>
      <c r="AD4" s="243" t="s">
        <v>127</v>
      </c>
      <c r="AE4" s="481" t="s">
        <v>106</v>
      </c>
      <c r="AF4" s="482"/>
      <c r="AG4" s="482"/>
      <c r="AH4" s="482"/>
      <c r="AI4" s="482"/>
      <c r="AJ4" s="483"/>
    </row>
    <row r="5" spans="1:36" s="178" customFormat="1">
      <c r="B5" s="222" t="s">
        <v>56</v>
      </c>
      <c r="C5" s="241" t="s">
        <v>12</v>
      </c>
      <c r="D5" s="118" t="s">
        <v>13</v>
      </c>
      <c r="E5" s="118" t="s">
        <v>14</v>
      </c>
      <c r="F5" s="242" t="s">
        <v>15</v>
      </c>
      <c r="G5" s="241" t="s">
        <v>136</v>
      </c>
      <c r="H5" s="118" t="s">
        <v>19</v>
      </c>
      <c r="I5" s="242" t="s">
        <v>20</v>
      </c>
      <c r="J5" s="244" t="s">
        <v>137</v>
      </c>
      <c r="K5" s="237" t="s">
        <v>22</v>
      </c>
      <c r="L5" s="148" t="s">
        <v>23</v>
      </c>
      <c r="M5" s="148" t="s">
        <v>24</v>
      </c>
      <c r="N5" s="148" t="s">
        <v>25</v>
      </c>
      <c r="O5" s="148" t="s">
        <v>26</v>
      </c>
      <c r="P5" s="238" t="s">
        <v>27</v>
      </c>
      <c r="V5" s="240" t="s">
        <v>56</v>
      </c>
      <c r="W5" s="241" t="s">
        <v>12</v>
      </c>
      <c r="X5" s="118" t="s">
        <v>13</v>
      </c>
      <c r="Y5" s="118" t="s">
        <v>14</v>
      </c>
      <c r="Z5" s="242" t="s">
        <v>15</v>
      </c>
      <c r="AA5" s="241" t="s">
        <v>136</v>
      </c>
      <c r="AB5" s="118" t="s">
        <v>19</v>
      </c>
      <c r="AC5" s="242" t="s">
        <v>20</v>
      </c>
      <c r="AD5" s="244" t="s">
        <v>137</v>
      </c>
      <c r="AE5" s="237" t="s">
        <v>22</v>
      </c>
      <c r="AF5" s="148" t="s">
        <v>23</v>
      </c>
      <c r="AG5" s="148" t="s">
        <v>24</v>
      </c>
      <c r="AH5" s="148" t="s">
        <v>25</v>
      </c>
      <c r="AI5" s="148" t="s">
        <v>26</v>
      </c>
      <c r="AJ5" s="238" t="s">
        <v>27</v>
      </c>
    </row>
    <row r="6" spans="1:36" ht="12.6" customHeight="1">
      <c r="B6" s="223" t="s">
        <v>97</v>
      </c>
      <c r="C6" s="225">
        <f>SUM(C18,C20)</f>
        <v>5.104171309148834E-2</v>
      </c>
      <c r="D6" s="179">
        <f>SUM(D18,D20)</f>
        <v>5.2266063623966463E-2</v>
      </c>
      <c r="E6" s="179">
        <f>SUM(E18,E20)</f>
        <v>5.0971447241777303E-2</v>
      </c>
      <c r="F6" s="180">
        <f>SUM(F18,F20)</f>
        <v>5.1008533067995798E-2</v>
      </c>
      <c r="G6" s="225">
        <f>SUM(C44,C46)</f>
        <v>4.58701394846295E-2</v>
      </c>
      <c r="H6" s="179">
        <f>SUM(D44,D46)</f>
        <v>4.8783960476682063E-2</v>
      </c>
      <c r="I6" s="180">
        <f>SUM(E44,E46)</f>
        <v>5.0568582014148968E-2</v>
      </c>
      <c r="J6" s="233">
        <f>SUM(C70,C72)</f>
        <v>4.8981960052903437E-2</v>
      </c>
      <c r="K6" s="225">
        <f>SUM(K18,K20)</f>
        <v>5.4987911130173033E-2</v>
      </c>
      <c r="L6" s="179">
        <f t="shared" ref="L6:P6" si="0">SUM(L18,L20)</f>
        <v>5.5220459855556084E-2</v>
      </c>
      <c r="M6" s="179">
        <f t="shared" si="0"/>
        <v>5.4975920557497795E-2</v>
      </c>
      <c r="N6" s="179">
        <f t="shared" si="0"/>
        <v>5.4973852162677944E-2</v>
      </c>
      <c r="O6" s="179">
        <f t="shared" si="0"/>
        <v>5.5388484748299667E-2</v>
      </c>
      <c r="P6" s="226">
        <f t="shared" si="0"/>
        <v>5.6847616985132063E-2</v>
      </c>
      <c r="V6" s="223" t="s">
        <v>97</v>
      </c>
      <c r="W6" s="225">
        <f>SUM(W18,W20)</f>
        <v>5.2891640550978891E-2</v>
      </c>
      <c r="X6" s="179">
        <f>SUM(X18,X20)</f>
        <v>5.4099122056028168E-2</v>
      </c>
      <c r="Y6" s="179">
        <f>SUM(Y18,Y20)</f>
        <v>5.2833943999999987E-2</v>
      </c>
      <c r="Z6" s="180">
        <f>SUM(Z18,Z20)</f>
        <v>5.2833943999999994E-2</v>
      </c>
      <c r="AA6" s="225">
        <f>SUM(W44,W46)</f>
        <v>4.7072832371917797E-2</v>
      </c>
      <c r="AB6" s="179">
        <f>SUM(X44,X46)</f>
        <v>4.9935625020755686E-2</v>
      </c>
      <c r="AC6" s="180">
        <f>SUM(Y44,Y46)</f>
        <v>5.1376838809206071E-2</v>
      </c>
      <c r="AD6" s="233">
        <f>SUM(W70,W72)</f>
        <v>5.090401130537462E-2</v>
      </c>
      <c r="AE6" s="225">
        <f>SUM(AE18,AE20)</f>
        <v>5.2833944000000001E-2</v>
      </c>
      <c r="AF6" s="179">
        <f t="shared" ref="AF6:AJ6" si="1">SUM(AF18,AF20)</f>
        <v>5.417765801428695E-2</v>
      </c>
      <c r="AG6" s="179">
        <f t="shared" si="1"/>
        <v>5.2833944000000008E-2</v>
      </c>
      <c r="AH6" s="179">
        <f t="shared" si="1"/>
        <v>5.2833944000000008E-2</v>
      </c>
      <c r="AI6" s="179">
        <f t="shared" si="1"/>
        <v>5.5072210481274503E-2</v>
      </c>
      <c r="AJ6" s="226">
        <f t="shared" si="1"/>
        <v>5.4820084404325398E-2</v>
      </c>
    </row>
    <row r="7" spans="1:36">
      <c r="B7" s="223" t="s">
        <v>98</v>
      </c>
      <c r="C7" s="225">
        <f>C19</f>
        <v>-8.6163068319041695E-3</v>
      </c>
      <c r="D7" s="179">
        <f>D19</f>
        <v>5.8446710184799295E-3</v>
      </c>
      <c r="E7" s="179">
        <f>E19</f>
        <v>-7.5273823786609507E-3</v>
      </c>
      <c r="F7" s="180">
        <f>F19</f>
        <v>-1.0235890505418553E-2</v>
      </c>
      <c r="G7" s="225">
        <f>C45</f>
        <v>1.2340567427235064E-2</v>
      </c>
      <c r="H7" s="179">
        <f>D45</f>
        <v>0</v>
      </c>
      <c r="I7" s="180">
        <f>E45</f>
        <v>5.5537211841843242E-3</v>
      </c>
      <c r="J7" s="233">
        <f>C71</f>
        <v>8.3649235729465349E-4</v>
      </c>
      <c r="K7" s="225">
        <f>K19</f>
        <v>2.0656132433816807E-3</v>
      </c>
      <c r="L7" s="179">
        <f t="shared" ref="L7:P7" si="2">L19</f>
        <v>5.7128550078502779E-3</v>
      </c>
      <c r="M7" s="179">
        <f t="shared" si="2"/>
        <v>1.2079138911819018E-6</v>
      </c>
      <c r="N7" s="179">
        <f t="shared" si="2"/>
        <v>0</v>
      </c>
      <c r="O7" s="179">
        <f t="shared" si="2"/>
        <v>1.7282894284112156E-3</v>
      </c>
      <c r="P7" s="226">
        <f t="shared" si="2"/>
        <v>1.2907482723182045E-2</v>
      </c>
      <c r="V7" s="223" t="s">
        <v>98</v>
      </c>
      <c r="W7" s="225">
        <f>W19</f>
        <v>-1.5195205854172302E-2</v>
      </c>
      <c r="X7" s="179">
        <f>X19</f>
        <v>2.0247559854658773E-3</v>
      </c>
      <c r="Y7" s="179">
        <f>Y19</f>
        <v>-8.6441365877438624E-3</v>
      </c>
      <c r="Z7" s="180">
        <f>Z19</f>
        <v>-1.9058784481946693E-2</v>
      </c>
      <c r="AA7" s="225">
        <f>W45</f>
        <v>9.7891382334466918E-3</v>
      </c>
      <c r="AB7" s="179">
        <f>X45</f>
        <v>0</v>
      </c>
      <c r="AC7" s="180">
        <f>Y45</f>
        <v>1.7684438229159074E-2</v>
      </c>
      <c r="AD7" s="233">
        <f>W71</f>
        <v>1.375272803783671E-3</v>
      </c>
      <c r="AE7" s="225">
        <f>AE19</f>
        <v>-5.7391933887759742E-4</v>
      </c>
      <c r="AF7" s="179">
        <f t="shared" ref="AF7:AJ7" si="3">AF19</f>
        <v>3.330932325313465E-3</v>
      </c>
      <c r="AG7" s="179">
        <f t="shared" si="3"/>
        <v>-1.0824372506425638E-2</v>
      </c>
      <c r="AH7" s="179">
        <f t="shared" si="3"/>
        <v>0</v>
      </c>
      <c r="AI7" s="179">
        <f t="shared" si="3"/>
        <v>2.1456134962079813E-2</v>
      </c>
      <c r="AJ7" s="226">
        <f t="shared" si="3"/>
        <v>2.71938855594007E-2</v>
      </c>
    </row>
    <row r="8" spans="1:36">
      <c r="B8" s="223" t="s">
        <v>99</v>
      </c>
      <c r="C8" s="225">
        <f>SUM(C21:C35)</f>
        <v>7.6293646699585938E-4</v>
      </c>
      <c r="D8" s="179">
        <f>SUM(D21:D35)</f>
        <v>1.1628417030869133E-3</v>
      </c>
      <c r="E8" s="179">
        <f>SUM(E21:E35)</f>
        <v>-6.3152516759792802E-5</v>
      </c>
      <c r="F8" s="180">
        <f>SUM(F21:F35)</f>
        <v>9.8033895850243419E-4</v>
      </c>
      <c r="G8" s="225">
        <f>SUM(C47:C61)</f>
        <v>3.9102178601815494E-4</v>
      </c>
      <c r="H8" s="225">
        <f t="shared" ref="H8:I8" si="4">SUM(D47:D61)</f>
        <v>3.8745474479147187E-3</v>
      </c>
      <c r="I8" s="225">
        <f t="shared" si="4"/>
        <v>1.4770836907866333E-3</v>
      </c>
      <c r="J8" s="233">
        <f>SUM(C73:C87)</f>
        <v>1.0057001474320512E-3</v>
      </c>
      <c r="K8" s="225">
        <f>SUM(K21:K37)</f>
        <v>8.9722623438840531E-3</v>
      </c>
      <c r="L8" s="179">
        <f t="shared" ref="L8:O8" si="5">SUM(L21:L37)</f>
        <v>1.0793475211888916E-3</v>
      </c>
      <c r="M8" s="179">
        <f t="shared" si="5"/>
        <v>-1.3749584182888588E-3</v>
      </c>
      <c r="N8" s="179">
        <f t="shared" si="5"/>
        <v>5.7434902774209703E-3</v>
      </c>
      <c r="O8" s="179">
        <f t="shared" si="5"/>
        <v>1.9008105317147154E-3</v>
      </c>
      <c r="P8" s="226">
        <f>SUM(P21:P37)</f>
        <v>8.9884392866148872E-3</v>
      </c>
      <c r="V8" s="223" t="s">
        <v>99</v>
      </c>
      <c r="W8" s="225">
        <f>SUM(W21:W35)</f>
        <v>2.4503439029388173E-4</v>
      </c>
      <c r="X8" s="179">
        <f>SUM(X21:X35)</f>
        <v>1.5696712386720764E-3</v>
      </c>
      <c r="Y8" s="179">
        <f>SUM(Y21:Y35)</f>
        <v>-1.7070214381646363E-4</v>
      </c>
      <c r="Z8" s="180">
        <f>SUM(Z21:Z35)</f>
        <v>1.1505477156475161E-3</v>
      </c>
      <c r="AA8" s="225">
        <f>SUM(W47:W61)</f>
        <v>6.1120996930527031E-4</v>
      </c>
      <c r="AB8" s="225">
        <f t="shared" ref="AB8:AC8" si="6">SUM(X47:X61)</f>
        <v>7.2258914591784946E-3</v>
      </c>
      <c r="AC8" s="225">
        <f t="shared" si="6"/>
        <v>3.1889973094119022E-3</v>
      </c>
      <c r="AD8" s="233">
        <f>SUM(W73:W87)</f>
        <v>1.0375885852961339E-3</v>
      </c>
      <c r="AE8" s="225">
        <f>SUM(AE21:AE37)</f>
        <v>3.7573569132464675E-3</v>
      </c>
      <c r="AF8" s="225">
        <f t="shared" ref="AF8:AJ8" si="7">SUM(AF21:AF37)</f>
        <v>2.5187642485815126E-4</v>
      </c>
      <c r="AG8" s="225">
        <f t="shared" si="7"/>
        <v>-1.0052066091919075E-2</v>
      </c>
      <c r="AH8" s="225">
        <f t="shared" si="7"/>
        <v>3.1816612092380875E-3</v>
      </c>
      <c r="AI8" s="225">
        <f t="shared" si="7"/>
        <v>-8.3398749707885838E-3</v>
      </c>
      <c r="AJ8" s="225">
        <f t="shared" si="7"/>
        <v>4.7705683509280707E-3</v>
      </c>
    </row>
    <row r="9" spans="1:36" s="177" customFormat="1">
      <c r="B9" s="224" t="s">
        <v>100</v>
      </c>
      <c r="C9" s="227">
        <f t="shared" ref="C9:J9" si="8">SUM(C6:C8)</f>
        <v>4.318834272658003E-2</v>
      </c>
      <c r="D9" s="181">
        <f t="shared" si="8"/>
        <v>5.9273576345533305E-2</v>
      </c>
      <c r="E9" s="181">
        <f t="shared" si="8"/>
        <v>4.3380912346356562E-2</v>
      </c>
      <c r="F9" s="182">
        <f t="shared" si="8"/>
        <v>4.1752981521079681E-2</v>
      </c>
      <c r="G9" s="227">
        <f t="shared" si="8"/>
        <v>5.8601728697882716E-2</v>
      </c>
      <c r="H9" s="181">
        <f t="shared" si="8"/>
        <v>5.2658507924596781E-2</v>
      </c>
      <c r="I9" s="182">
        <f t="shared" si="8"/>
        <v>5.7599386889119926E-2</v>
      </c>
      <c r="J9" s="234">
        <f t="shared" si="8"/>
        <v>5.0824152557630141E-2</v>
      </c>
      <c r="K9" s="227">
        <f t="shared" ref="K9:P9" si="9">SUM(K6:K8)</f>
        <v>6.6025786717438764E-2</v>
      </c>
      <c r="L9" s="181">
        <f t="shared" si="9"/>
        <v>6.2012662384595255E-2</v>
      </c>
      <c r="M9" s="181">
        <f t="shared" si="9"/>
        <v>5.3602170053100119E-2</v>
      </c>
      <c r="N9" s="181">
        <f t="shared" si="9"/>
        <v>6.0717342440098916E-2</v>
      </c>
      <c r="O9" s="181">
        <f t="shared" si="9"/>
        <v>5.9017584708425601E-2</v>
      </c>
      <c r="P9" s="228">
        <f t="shared" si="9"/>
        <v>7.8743538994928988E-2</v>
      </c>
      <c r="V9" s="224" t="s">
        <v>100</v>
      </c>
      <c r="W9" s="227">
        <f t="shared" ref="W9:AJ9" si="10">SUM(W6:W8)</f>
        <v>3.7941469087100464E-2</v>
      </c>
      <c r="X9" s="181">
        <f t="shared" si="10"/>
        <v>5.7693549280166123E-2</v>
      </c>
      <c r="Y9" s="181">
        <f t="shared" si="10"/>
        <v>4.4019105268439662E-2</v>
      </c>
      <c r="Z9" s="182">
        <f t="shared" si="10"/>
        <v>3.4925707233700816E-2</v>
      </c>
      <c r="AA9" s="227">
        <f t="shared" si="10"/>
        <v>5.7473180574669762E-2</v>
      </c>
      <c r="AB9" s="181">
        <f t="shared" si="10"/>
        <v>5.7161516479934178E-2</v>
      </c>
      <c r="AC9" s="182">
        <f t="shared" si="10"/>
        <v>7.2250274347777046E-2</v>
      </c>
      <c r="AD9" s="234">
        <f t="shared" si="10"/>
        <v>5.3316872694454426E-2</v>
      </c>
      <c r="AE9" s="227">
        <f t="shared" si="10"/>
        <v>5.601738157436887E-2</v>
      </c>
      <c r="AF9" s="181">
        <f t="shared" si="10"/>
        <v>5.7760466764458569E-2</v>
      </c>
      <c r="AG9" s="181">
        <f t="shared" si="10"/>
        <v>3.1957505401655296E-2</v>
      </c>
      <c r="AH9" s="181">
        <f t="shared" si="10"/>
        <v>5.6015605209238095E-2</v>
      </c>
      <c r="AI9" s="181">
        <f t="shared" si="10"/>
        <v>6.8188470472565738E-2</v>
      </c>
      <c r="AJ9" s="228">
        <f t="shared" si="10"/>
        <v>8.6784538314654158E-2</v>
      </c>
    </row>
    <row r="10" spans="1:36" ht="12.6" customHeight="1">
      <c r="B10" s="223" t="s">
        <v>101</v>
      </c>
      <c r="C10" s="225">
        <f>SUM(C37:C38)</f>
        <v>3.2764316110797186E-2</v>
      </c>
      <c r="D10" s="179">
        <f>SUM(D37:D38)</f>
        <v>4.5895971840013101E-2</v>
      </c>
      <c r="E10" s="179">
        <f>SUM(E37:E38)</f>
        <v>2.7034318602410509E-2</v>
      </c>
      <c r="F10" s="180">
        <f>SUM(F37:F38)</f>
        <v>-2.3028145411063544E-2</v>
      </c>
      <c r="G10" s="225">
        <f>SUM(C63:C64)</f>
        <v>2.5023816055502E-2</v>
      </c>
      <c r="H10" s="179">
        <f>SUM(D63:D64)</f>
        <v>3.19823015511745E-2</v>
      </c>
      <c r="I10" s="180">
        <f>SUM(E63:E64)</f>
        <v>2.7088613603414618E-2</v>
      </c>
      <c r="J10" s="233">
        <f>SUM(C89:C90)</f>
        <v>7.4164106271945906E-3</v>
      </c>
      <c r="K10" s="225">
        <f t="shared" ref="K10:P10" si="11">SUM(K39:K40)</f>
        <v>1.3112084770237576E-3</v>
      </c>
      <c r="L10" s="179">
        <f t="shared" si="11"/>
        <v>1.7665513334802211E-2</v>
      </c>
      <c r="M10" s="179">
        <f t="shared" si="11"/>
        <v>2.9510728171567371E-2</v>
      </c>
      <c r="N10" s="179">
        <f t="shared" si="11"/>
        <v>1.8185247910685463E-2</v>
      </c>
      <c r="O10" s="179">
        <f t="shared" si="11"/>
        <v>1.9343521487100564E-2</v>
      </c>
      <c r="P10" s="226">
        <f t="shared" si="11"/>
        <v>2.0301755754196873E-2</v>
      </c>
      <c r="V10" s="223" t="s">
        <v>101</v>
      </c>
      <c r="W10" s="225">
        <f>SUM(W37:W38)</f>
        <v>4.660987803308568E-2</v>
      </c>
      <c r="X10" s="179">
        <f>SUM(X37:X38)</f>
        <v>6.1033400969782069E-2</v>
      </c>
      <c r="Y10" s="179">
        <f>SUM(Y37:Y38)</f>
        <v>3.4567616800517592E-2</v>
      </c>
      <c r="Z10" s="180">
        <f>SUM(Z37:Z38)</f>
        <v>-7.3744936936655597E-2</v>
      </c>
      <c r="AA10" s="225">
        <f>SUM(W63:W64)</f>
        <v>4.0572168372133816E-2</v>
      </c>
      <c r="AB10" s="179">
        <f>SUM(X63:X64)</f>
        <v>4.1051850084088383E-2</v>
      </c>
      <c r="AC10" s="180">
        <f>SUM(Y63:Y64)</f>
        <v>5.8320608709225168E-2</v>
      </c>
      <c r="AD10" s="233">
        <f>SUM(W89:W90)</f>
        <v>1.7322172589881571E-2</v>
      </c>
      <c r="AE10" s="225">
        <f t="shared" ref="AE10:AJ10" si="12">SUM(AE39:AE40)</f>
        <v>5.169290574715607E-2</v>
      </c>
      <c r="AF10" s="179">
        <f t="shared" si="12"/>
        <v>8.0428322559736407E-2</v>
      </c>
      <c r="AG10" s="179">
        <f t="shared" si="12"/>
        <v>0.10122099491088775</v>
      </c>
      <c r="AH10" s="179">
        <f t="shared" si="12"/>
        <v>7.2579178068555544E-2</v>
      </c>
      <c r="AI10" s="179">
        <f t="shared" si="12"/>
        <v>9.4816858601610834E-2</v>
      </c>
      <c r="AJ10" s="226">
        <f t="shared" si="12"/>
        <v>6.6859444324167669E-2</v>
      </c>
    </row>
    <row r="11" spans="1:36" s="177" customFormat="1" ht="26.1" customHeight="1">
      <c r="B11" s="224" t="s">
        <v>138</v>
      </c>
      <c r="C11" s="229">
        <f>SUM(C9:C10)</f>
        <v>7.5952658837377215E-2</v>
      </c>
      <c r="D11" s="183">
        <f t="shared" ref="D11:J11" si="13">SUM(D9:D10)</f>
        <v>0.10516954818554641</v>
      </c>
      <c r="E11" s="183">
        <f t="shared" si="13"/>
        <v>7.0415230948767074E-2</v>
      </c>
      <c r="F11" s="184">
        <f t="shared" si="13"/>
        <v>1.8724836110016137E-2</v>
      </c>
      <c r="G11" s="229">
        <f t="shared" si="13"/>
        <v>8.3625544753384712E-2</v>
      </c>
      <c r="H11" s="183">
        <f t="shared" si="13"/>
        <v>8.4640809475771281E-2</v>
      </c>
      <c r="I11" s="184">
        <f t="shared" si="13"/>
        <v>8.468800049253454E-2</v>
      </c>
      <c r="J11" s="235">
        <f t="shared" si="13"/>
        <v>5.8240563184824734E-2</v>
      </c>
      <c r="K11" s="229">
        <f t="shared" ref="K11:P11" si="14">SUM(K9:K10)</f>
        <v>6.7336995194462526E-2</v>
      </c>
      <c r="L11" s="183">
        <f t="shared" si="14"/>
        <v>7.9678175719397462E-2</v>
      </c>
      <c r="M11" s="183">
        <f t="shared" si="14"/>
        <v>8.3112898224667497E-2</v>
      </c>
      <c r="N11" s="183">
        <f t="shared" si="14"/>
        <v>7.8902590350784382E-2</v>
      </c>
      <c r="O11" s="183">
        <f t="shared" si="14"/>
        <v>7.8361106195526165E-2</v>
      </c>
      <c r="P11" s="230">
        <f t="shared" si="14"/>
        <v>9.9045294749125865E-2</v>
      </c>
      <c r="V11" s="224" t="s">
        <v>138</v>
      </c>
      <c r="W11" s="229">
        <f t="shared" ref="W11:AJ11" si="15">SUM(W9:W10)</f>
        <v>8.4551347120186138E-2</v>
      </c>
      <c r="X11" s="183">
        <f t="shared" si="15"/>
        <v>0.1187269502499482</v>
      </c>
      <c r="Y11" s="183">
        <f t="shared" si="15"/>
        <v>7.8586722068957254E-2</v>
      </c>
      <c r="Z11" s="184">
        <f t="shared" si="15"/>
        <v>-3.8819229702954781E-2</v>
      </c>
      <c r="AA11" s="229">
        <f t="shared" si="15"/>
        <v>9.8045348946803584E-2</v>
      </c>
      <c r="AB11" s="183">
        <f t="shared" si="15"/>
        <v>9.8213366564022561E-2</v>
      </c>
      <c r="AC11" s="184">
        <f t="shared" si="15"/>
        <v>0.13057088305700221</v>
      </c>
      <c r="AD11" s="235">
        <f t="shared" si="15"/>
        <v>7.0639045284335997E-2</v>
      </c>
      <c r="AE11" s="229">
        <f t="shared" si="15"/>
        <v>0.10771028732152493</v>
      </c>
      <c r="AF11" s="183">
        <f t="shared" si="15"/>
        <v>0.13818878932419498</v>
      </c>
      <c r="AG11" s="183">
        <f t="shared" si="15"/>
        <v>0.13317850031254305</v>
      </c>
      <c r="AH11" s="183">
        <f t="shared" si="15"/>
        <v>0.12859478327779364</v>
      </c>
      <c r="AI11" s="183">
        <f t="shared" si="15"/>
        <v>0.16300532907417659</v>
      </c>
      <c r="AJ11" s="230">
        <f t="shared" si="15"/>
        <v>0.15364398263882184</v>
      </c>
    </row>
    <row r="12" spans="1:36" ht="7.5" customHeight="1">
      <c r="A12" s="177"/>
      <c r="B12" s="223"/>
      <c r="C12" s="231"/>
      <c r="D12" s="185"/>
      <c r="E12" s="185"/>
      <c r="F12" s="186"/>
      <c r="G12" s="231"/>
      <c r="H12" s="185"/>
      <c r="I12" s="186"/>
      <c r="J12" s="236"/>
      <c r="K12" s="231"/>
      <c r="L12" s="185"/>
      <c r="M12" s="185"/>
      <c r="N12" s="185"/>
      <c r="O12" s="185"/>
      <c r="P12" s="232"/>
      <c r="V12" s="223"/>
      <c r="W12" s="231"/>
      <c r="X12" s="185"/>
      <c r="Y12" s="185"/>
      <c r="Z12" s="186"/>
      <c r="AA12" s="231"/>
      <c r="AB12" s="185"/>
      <c r="AC12" s="186"/>
      <c r="AD12" s="236"/>
      <c r="AE12" s="231"/>
      <c r="AF12" s="185"/>
      <c r="AG12" s="185"/>
      <c r="AH12" s="185"/>
      <c r="AI12" s="185"/>
      <c r="AJ12" s="232"/>
    </row>
    <row r="13" spans="1:36" s="177" customFormat="1" ht="25.5" customHeight="1" thickBot="1">
      <c r="B13" s="224" t="str">
        <f>"Totex out(under) performance (allowance vs actual/forecast spend) - "&amp;B4</f>
        <v>Totex out(under) performance (allowance vs actual/forecast spend) - RIIO-2 period</v>
      </c>
      <c r="C13" s="411">
        <f>IF($B$4="RIIO-2 period",Cadent!$K$101,Cadent!$J$101)</f>
        <v>-6.6157923337764102E-2</v>
      </c>
      <c r="D13" s="412">
        <f>IF($B$4="RIIO-2 period",NGN!$K$101,NGN!$J$101)</f>
        <v>4.3161838927510444E-2</v>
      </c>
      <c r="E13" s="412">
        <f>IF($B$4="RIIO-2 period",SGN!$K$101,SGN!$J$101)</f>
        <v>-6.0578946530580241E-2</v>
      </c>
      <c r="F13" s="413">
        <f>IF($B$4="RIIO-2 period",WWU!$K$101,WWU!$J$101)</f>
        <v>-7.2487107516180802E-2</v>
      </c>
      <c r="G13" s="411">
        <f>IF($B$4="RIIO-2 period",NGET!$K$101,NGET!$J$101)</f>
        <v>0.11047178627864672</v>
      </c>
      <c r="H13" s="412">
        <f>IF($B$4="RIIO-2 period",SPT!$K$101,SPT!$J$101)</f>
        <v>0</v>
      </c>
      <c r="I13" s="413">
        <f>IF($B$4="RIIO-2 period",SHET!$K$101,SHET!$J$101)</f>
        <v>2.2154218424283882E-2</v>
      </c>
      <c r="J13" s="414">
        <f>IF($B$4="RIIO-2 period",GT!$K$101,GT!$J$101)</f>
        <v>1.1455030493176074E-2</v>
      </c>
      <c r="K13" s="411">
        <f>IF($B$4="RIIO-2 period",ENWL!$K$107,ENWL!$J$107)</f>
        <v>9.6439632589790363E-3</v>
      </c>
      <c r="L13" s="412">
        <f>IF($B$4="RIIO-2 period",NGED!$K$101,NGED!$J$101)</f>
        <v>3.6016355172237384E-2</v>
      </c>
      <c r="M13" s="412">
        <f>IF($B$4="RIIO-2 period",NPg!$K$101,NPg!$J$101)</f>
        <v>6.433194567530052E-6</v>
      </c>
      <c r="N13" s="412">
        <f>IF($B$4="RIIO-2 period",SPEN!$K$101,SPEN!$J$101)</f>
        <v>0</v>
      </c>
      <c r="O13" s="412">
        <f>IF($B$4="RIIO-2 period",SSE!$K$101,SSE!$J$101)</f>
        <v>7.4513857043888828E-3</v>
      </c>
      <c r="P13" s="415">
        <f>IF($B$4="RIIO-2 period",UKPN!$K$107,UKPN!$J$107)</f>
        <v>7.0834516468556485E-2</v>
      </c>
      <c r="Q13" s="410" t="s">
        <v>103</v>
      </c>
      <c r="V13" s="224" t="str">
        <f>"Totex out(under) performance (allowance vs actual/forecast spend) - "&amp;V4</f>
        <v>Totex out(under) performance (allowance vs actual/forecast spend) - 2024</v>
      </c>
      <c r="W13" s="411">
        <f>IF($V$4="RIIO-2 period",Cadent!$E$101,Cadent!$E$101)</f>
        <v>-5.2619398848804989E-2</v>
      </c>
      <c r="X13" s="412">
        <f>IF($V$4="RIIO-2 period",NGN!$E$101,NGN!$E$101)</f>
        <v>0.14101680161068081</v>
      </c>
      <c r="Y13" s="412">
        <f>IF($V$4="RIIO-2 period",SGN!$E$101,SGN!$E$101)</f>
        <v>1.9583696595262465E-2</v>
      </c>
      <c r="Z13" s="413">
        <f>IF($V$4="RIIO-2 period",WWU!$E$101,WWU!$E$101)</f>
        <v>2.5506251972832263E-2</v>
      </c>
      <c r="AA13" s="411">
        <f>IF($V$4="RIIO-2 period",NGET!$E$101,NGET!$E$101)</f>
        <v>8.7090491007563081E-2</v>
      </c>
      <c r="AB13" s="412">
        <f>IF($V$4="RIIO-2 period",SPT!$E$101,SPT!$E$101)</f>
        <v>0</v>
      </c>
      <c r="AC13" s="413">
        <f>IF($V$4="RIIO-2 period",SHET!$E$101,SHET!$E$101)</f>
        <v>0.32189312169562395</v>
      </c>
      <c r="AD13" s="414">
        <f>IF($V$4="RIIO-2 period",GT!$E$101,GT!$E$101)</f>
        <v>3.2610006789114236E-3</v>
      </c>
      <c r="AE13" s="411">
        <f>IF($B$4="RIIO-2 period",ENWL!$K$107,ENWL!$J$107)</f>
        <v>9.6439632589790363E-3</v>
      </c>
      <c r="AF13" s="412">
        <f>IF($B$4="RIIO-2 period",NGED!$K$101,NGED!$J$101)</f>
        <v>3.6016355172237384E-2</v>
      </c>
      <c r="AG13" s="412">
        <f>IF($B$4="RIIO-2 period",NPg!$K$101,NPg!$J$101)</f>
        <v>6.433194567530052E-6</v>
      </c>
      <c r="AH13" s="412">
        <f>IF($B$4="RIIO-2 period",SPEN!$K$101,SPEN!$J$101)</f>
        <v>0</v>
      </c>
      <c r="AI13" s="412">
        <f>IF($B$4="RIIO-2 period",SSE!$K$101,SSE!$J$101)</f>
        <v>7.4513857043888828E-3</v>
      </c>
      <c r="AJ13" s="415">
        <f>IF($B$4="RIIO-2 period",UKPN!$K$107,UKPN!$J$107)</f>
        <v>7.0834516468556485E-2</v>
      </c>
    </row>
    <row r="14" spans="1:36" ht="18.600000000000001" customHeight="1">
      <c r="A14" s="448" t="s">
        <v>104</v>
      </c>
      <c r="C14" s="187"/>
      <c r="D14" s="187"/>
      <c r="E14" s="187"/>
      <c r="F14" s="187"/>
      <c r="G14" s="187"/>
      <c r="H14" s="187"/>
      <c r="I14" s="188"/>
      <c r="J14" s="188"/>
      <c r="K14" s="188"/>
      <c r="L14" s="188"/>
      <c r="M14" s="188"/>
      <c r="N14" s="188"/>
      <c r="O14" s="188"/>
      <c r="P14" s="188"/>
      <c r="Q14" s="188"/>
      <c r="R14" s="188"/>
      <c r="S14" s="188"/>
      <c r="T14" s="188"/>
      <c r="U14" s="188"/>
      <c r="V14" s="188"/>
      <c r="W14" s="188"/>
      <c r="X14" s="188"/>
      <c r="Y14" s="188"/>
      <c r="Z14" s="188"/>
      <c r="AA14" s="188"/>
    </row>
    <row r="16" spans="1:36">
      <c r="A16" s="177" t="s">
        <v>105</v>
      </c>
      <c r="B16" s="189" t="str">
        <f>$B$4</f>
        <v>RIIO-2 period</v>
      </c>
      <c r="C16" s="190"/>
      <c r="I16" s="177" t="s">
        <v>106</v>
      </c>
      <c r="J16" s="189" t="str">
        <f>$B$4</f>
        <v>RIIO-2 period</v>
      </c>
      <c r="K16" s="190"/>
      <c r="U16" s="177" t="s">
        <v>105</v>
      </c>
      <c r="V16" s="189">
        <f>$V$4</f>
        <v>2024</v>
      </c>
      <c r="W16" s="190"/>
      <c r="AC16" s="177" t="s">
        <v>106</v>
      </c>
      <c r="AD16" s="189">
        <f>$V$4</f>
        <v>2024</v>
      </c>
      <c r="AE16" s="190"/>
    </row>
    <row r="17" spans="2:36">
      <c r="B17" s="191" t="str">
        <f>$B$5</f>
        <v>RoRE based on Notional Gearing</v>
      </c>
      <c r="C17" s="118" t="s">
        <v>12</v>
      </c>
      <c r="D17" s="118" t="s">
        <v>13</v>
      </c>
      <c r="E17" s="118" t="s">
        <v>14</v>
      </c>
      <c r="F17" s="118" t="s">
        <v>15</v>
      </c>
      <c r="J17" s="191" t="str">
        <f>$B$5</f>
        <v>RoRE based on Notional Gearing</v>
      </c>
      <c r="K17" s="148" t="s">
        <v>22</v>
      </c>
      <c r="L17" s="148" t="s">
        <v>23</v>
      </c>
      <c r="M17" s="148" t="s">
        <v>24</v>
      </c>
      <c r="N17" s="148" t="s">
        <v>25</v>
      </c>
      <c r="O17" s="148" t="s">
        <v>26</v>
      </c>
      <c r="P17" s="148" t="s">
        <v>27</v>
      </c>
      <c r="V17" s="191" t="str">
        <f>$V$5</f>
        <v>RoRE based on Notional Gearing</v>
      </c>
      <c r="W17" s="118" t="s">
        <v>12</v>
      </c>
      <c r="X17" s="118" t="s">
        <v>13</v>
      </c>
      <c r="Y17" s="118" t="s">
        <v>14</v>
      </c>
      <c r="Z17" s="118" t="s">
        <v>15</v>
      </c>
      <c r="AD17" s="191" t="str">
        <f>$V$5</f>
        <v>RoRE based on Notional Gearing</v>
      </c>
      <c r="AE17" s="148" t="s">
        <v>22</v>
      </c>
      <c r="AF17" s="148" t="s">
        <v>23</v>
      </c>
      <c r="AG17" s="148" t="s">
        <v>24</v>
      </c>
      <c r="AH17" s="148" t="s">
        <v>25</v>
      </c>
      <c r="AI17" s="148" t="s">
        <v>26</v>
      </c>
      <c r="AJ17" s="148" t="s">
        <v>27</v>
      </c>
    </row>
    <row r="18" spans="2:36">
      <c r="B18" s="192" t="str">
        <f>Cadent!$B11</f>
        <v>Allowed Equity Return</v>
      </c>
      <c r="C18" s="210">
        <f>IF($B$4=Data!$A$10,(IF($B$5=Data!$A$6,Cadent!$J11,Cadent!$J38)),(IF($B$5=Data!$A$6,Cadent!$K11,Cadent!$K38)))</f>
        <v>5.0984012715560717E-2</v>
      </c>
      <c r="D18" s="210">
        <f>IF($B$4=Data!$A$10,(IF($B$5=Data!$A$6,NGN!$J11,NGN!$J38)),(IF($B$5=Data!$A$6,NGN!$K11,NGN!$K38)))</f>
        <v>5.1000738042294567E-2</v>
      </c>
      <c r="E18" s="210">
        <f>IF($B$4=Data!$A$10,(IF($B$5=Data!$A$6,SGN!$J11,SGN!$J38)),(IF($B$5=Data!$A$6,SGN!$K11,SGN!$K38)))</f>
        <v>5.0971447241777303E-2</v>
      </c>
      <c r="F18" s="210">
        <f>IF($B$4=Data!$A$10,(IF($B$5=Data!$A$6,WWU!$J11,WWU!$J38)),(IF($B$5=Data!$A$6,WWU!$K11,WWU!$K38)))</f>
        <v>5.1008533067995798E-2</v>
      </c>
      <c r="H18" s="194"/>
      <c r="J18" s="209" t="s">
        <v>107</v>
      </c>
      <c r="K18" s="210">
        <f>IF($B$4=Data!$A$10,(IF($B$5=Data!$A$6,ENWL!$J11,ENWL!$J40)),(IF($B$5=Data!$A$6,ENWL!$K11,ENWL!$K40)))</f>
        <v>5.4987911130173033E-2</v>
      </c>
      <c r="L18" s="210">
        <f>IF($B$4=Data!$A$10,(IF($B$5=Data!$A$6,NGED!$J11,NGED!$J38)),(IF($B$5=Data!$A$6,NGED!$K11,NGED!$K38)))</f>
        <v>5.4969038195473767E-2</v>
      </c>
      <c r="M18" s="210">
        <f>IF($B$4=Data!$A$10,(IF($B$5=Data!$A$6,NPg!$J11,NPg!$J38)),(IF($B$5=Data!$A$6,NPg!$K11,NPg!$K38)))</f>
        <v>5.4975920557497795E-2</v>
      </c>
      <c r="N18" s="210">
        <f>IF($B$4=Data!$A$10,(IF($B$5=Data!$A$6,SPEN!$J11,SPEN!$J38)),(IF($B$5=Data!$A$6,SPEN!$K11,SPEN!$K38)))</f>
        <v>5.4973852162677944E-2</v>
      </c>
      <c r="O18" s="210">
        <f>IF($B$4=Data!$A$10,(IF($B$5=Data!$A$6,SSE!$J11,SSE!$J38)),(IF($B$5=Data!$A$6,SSE!$K11,SSE!$K38)))</f>
        <v>5.499997338081225E-2</v>
      </c>
      <c r="P18" s="210">
        <f>IF($B$4=Data!$A$10,(IF($B$5=Data!$A$6,UKPN!$J11,UKPN!$J40)),(IF($B$5=Data!$A$6,UKPN!$K11,UKPN!$K40)))</f>
        <v>5.4962918254766298E-2</v>
      </c>
      <c r="V18" s="192" t="str">
        <f>Cadent!$B11</f>
        <v>Allowed Equity Return</v>
      </c>
      <c r="W18" s="193">
        <f>IF($V$17=Data!$A$6,INDEX(Cadent!$D$11:$H$32,MATCH(V18,Cadent!$B$11:$B$32,0),MATCH($V$4,Cadent!$D$7:$H$7,0)),INDEX(Cadent!$D$38:$H$59,MATCH(V18,Cadent!$B$38:$B$59,0),MATCH($V$4,Cadent!$D$7:$H$7,0)))</f>
        <v>5.2833943999999994E-2</v>
      </c>
      <c r="X18" s="193">
        <f>IF($V$17=Data!$A$6,INDEX(NGN!$D$11:$H$32,MATCH(V18,NGN!$B$11:$B$32,0),MATCH($V$4,NGN!$D$7:$H$7,0)),INDEX(NGN!$D$38:$H$59,MATCH(V18,NGN!$B$38:$B$59,0),MATCH($V$4,NGN!$D$7:$H$7,0)))</f>
        <v>5.2833943999999994E-2</v>
      </c>
      <c r="Y18" s="193">
        <f>IF($V$17=Data!$A$6,INDEX(SGN!$D$11:$H$32,MATCH(V18,SGN!$B$11:$B$32,0),MATCH($V$4,SGN!$D$7:$H$7,0)),INDEX(SGN!$D$38:$H$59,MATCH(V18,SGN!$B$38:$B$59,0),MATCH($V$4,SGN!$D$7:$H$7,0)))</f>
        <v>5.2833943999999987E-2</v>
      </c>
      <c r="Z18" s="193">
        <f>IF($V$17=Data!$A$6,INDEX(WWU!$D$11:$H$32,MATCH(V18,WWU!$B$11:$B$32,0),MATCH($V$4,WWU!$D$7:$H$7,0)),INDEX(WWU!$D$38:$H$59,MATCH(V18,WWU!$B$38:$B$59,0),MATCH($V$4,WWU!$D$7:$H$7,0)))</f>
        <v>5.2833943999999994E-2</v>
      </c>
      <c r="AA18" s="194"/>
      <c r="AD18" s="192" t="str">
        <f>ED!$B11</f>
        <v>Allowed Equity Return</v>
      </c>
      <c r="AE18" s="193">
        <f>IF($AD$17=Data!$A$6,INDEX(ENWL!$D$11:$H$34,MATCH($AD18,ENWL!$B$11:$B$34,0),MATCH($V$4,ENWL!$D$6:$H$6,0)),INDEX(ENWL!$D$40:$H$63,MATCH($AD18,ENWL!$B$40:$B$63,0),MATCH($V$4,ENWL!$D$6:$H$6,0)))</f>
        <v>5.2833944000000001E-2</v>
      </c>
      <c r="AF18" s="193">
        <f>IF($AD$17=Data!$A$6,INDEX(NGED!$D$11:$H$32,MATCH($AD18,NGED!$B$11:$B$32,0),MATCH($V$4,NGED!$D$7:$H$7,0)),INDEX(NGED!$D$38:$H$59,MATCH($AD18,NGED!$B$38:$B$59,0),MATCH($V$4,NGED!$D$7:$H$7,0)))</f>
        <v>5.2833943999999994E-2</v>
      </c>
      <c r="AG18" s="193">
        <f>IF($AD$17=Data!$A$6,INDEX(NPg!$D$11:$H$32,MATCH($AD18,NPg!$B$11:$B$32,0),MATCH($V$4,NPg!$D$7:$H$7,0)),INDEX(NPg!$D$38:$H$59,MATCH($AD18,NPg!$B$38:$B$59,0),MATCH($V$4,NPg!$D$7:$H$7,0)))</f>
        <v>5.2833944000000008E-2</v>
      </c>
      <c r="AH18" s="193">
        <f>IF($AD$17=Data!$A$6,INDEX(SPEN!$D$11:$H$32,MATCH($AD18,SPEN!$B$11:$B$32,0),MATCH($V$4,SPEN!$D$7:$H$7,0)),INDEX(SPEN!$D$38:$H$59,MATCH($AD18,SPEN!$B$38:$B$59,0),MATCH($V$4,SPEN!$D$7:$H$7,0)))</f>
        <v>5.2833944000000008E-2</v>
      </c>
      <c r="AI18" s="193">
        <f>IF($AD$17=Data!$A$6,INDEX(SSE!$D$11:$H$32,MATCH($AD18,SSE!$B$11:$B$32,0),MATCH($V$4,SSE!$D$7:$H$7,0)),INDEX(SSE!$D$38:$H$59,MATCH($AD18,SSE!$B$38:$B$59,0),MATCH($V$4,SSE!$D$7:$H$7,0)))</f>
        <v>5.2833944000000001E-2</v>
      </c>
      <c r="AJ18" s="193">
        <f>IF($AD$17=Data!$A$6,INDEX(UKPN!$D$11:$H$33,MATCH($AD18,UKPN!$B$11:$B$33,0),MATCH($V$4,UKPN!$D$7:$H$7,0)),INDEX(UKPN!$D$40:$H$62,MATCH($AD18,UKPN!$B$40:$B$62,0),MATCH($V$4,UKPN!$D$7:$H$7,0)))</f>
        <v>5.2833944000000008E-2</v>
      </c>
    </row>
    <row r="19" spans="2:36">
      <c r="B19" s="192" t="str">
        <f>Cadent!$B12</f>
        <v>Totex outperformance</v>
      </c>
      <c r="C19" s="210">
        <f>IF($B$4=Data!$A$10,(IF($B$5=Data!$A$6,Cadent!$J12,Cadent!$J39)),(IF($B$5=Data!$A$6,Cadent!$K12,Cadent!$K39)))</f>
        <v>-8.6163068319041695E-3</v>
      </c>
      <c r="D19" s="210">
        <f>IF($B$4=Data!$A$10,(IF($B$5=Data!$A$6,NGN!$J12,NGN!$J39)),(IF($B$5=Data!$A$6,NGN!$K12,NGN!$K39)))</f>
        <v>5.8446710184799295E-3</v>
      </c>
      <c r="E19" s="210">
        <f>IF($B$4=Data!$A$10,(IF($B$5=Data!$A$6,SGN!$J12,SGN!$J39)),(IF($B$5=Data!$A$6,SGN!$K12,SGN!$K39)))</f>
        <v>-7.5273823786609507E-3</v>
      </c>
      <c r="F19" s="210">
        <f>IF($B$4=Data!$A$10,(IF($B$5=Data!$A$6,WWU!$J12,WWU!$J39)),(IF($B$5=Data!$A$6,WWU!$K12,WWU!$K39)))</f>
        <v>-1.0235890505418553E-2</v>
      </c>
      <c r="H19" s="194"/>
      <c r="J19" s="209" t="s">
        <v>108</v>
      </c>
      <c r="K19" s="210">
        <f>IF($B$4=Data!$A$10,(IF($B$5=Data!$A$6,ENWL!$J12,ENWL!$J41)),(IF($B$5=Data!$A$6,ENWL!$K12,ENWL!$K41)))</f>
        <v>2.0656132433816807E-3</v>
      </c>
      <c r="L19" s="210">
        <f>IF($B$4=Data!$A$10,(IF($B$5=Data!$A$6,NGED!$J12,NGED!$J39)),(IF($B$5=Data!$A$6,NGED!$K12,NGED!$K39)))</f>
        <v>5.7128550078502779E-3</v>
      </c>
      <c r="M19" s="210">
        <f>IF($B$4=Data!$A$10,(IF($B$5=Data!$A$6,NPg!$J12,NPg!$J39)),(IF($B$5=Data!$A$6,NPg!$K12,NPg!$K39)))</f>
        <v>1.2079138911819018E-6</v>
      </c>
      <c r="N19" s="210">
        <f>IF($B$4=Data!$A$10,(IF($B$5=Data!$A$6,SPEN!$J12,SPEN!$J39)),(IF($B$5=Data!$A$6,SPEN!$K12,SPEN!$K39)))</f>
        <v>0</v>
      </c>
      <c r="O19" s="210">
        <f>IF($B$4=Data!$A$10,(IF($B$5=Data!$A$6,SSE!$J12,SSE!$J39)),(IF($B$5=Data!$A$6,SSE!$K12,SSE!$K39)))</f>
        <v>1.7282894284112156E-3</v>
      </c>
      <c r="P19" s="210">
        <f>IF($B$4=Data!$A$10,(IF($B$5=Data!$A$6,UKPN!$J12,UKPN!$J41)),(IF($B$5=Data!$A$6,UKPN!$K12,UKPN!$K41)))</f>
        <v>1.2907482723182045E-2</v>
      </c>
      <c r="V19" s="192" t="str">
        <f>Cadent!$B12</f>
        <v>Totex outperformance</v>
      </c>
      <c r="W19" s="193">
        <f>IF($V$17=Data!$A$6,INDEX(Cadent!$D$11:$H$32,MATCH(V19,Cadent!$B$11:$B$32,0),MATCH($V$4,Cadent!$D$7:$H$7,0)),INDEX(Cadent!$D$38:$H$59,MATCH(V19,Cadent!$B$38:$B$59,0),MATCH($V$4,Cadent!$D$7:$H$7,0)))</f>
        <v>-1.5195205854172302E-2</v>
      </c>
      <c r="X19" s="193">
        <f>IF($V$17=Data!$A$6,INDEX(NGN!$D$11:$H$32,MATCH(V19,NGN!$B$11:$B$32,0),MATCH($V$4,NGN!$D$7:$H$7,0)),INDEX(NGN!$D$38:$H$59,MATCH(V19,NGN!$B$38:$B$59,0),MATCH($V$4,NGN!$D$7:$H$7,0)))</f>
        <v>2.0247559854658773E-3</v>
      </c>
      <c r="Y19" s="193">
        <f>IF($V$17=Data!$A$6,INDEX(SGN!$D$11:$H$32,MATCH(V19,SGN!$B$11:$B$32,0),MATCH($V$4,SGN!$D$7:$H$7,0)),INDEX(SGN!$D$38:$H$59,MATCH(V19,SGN!$B$38:$B$59,0),MATCH($V$4,SGN!$D$7:$H$7,0)))</f>
        <v>-8.6441365877438624E-3</v>
      </c>
      <c r="Z19" s="193">
        <f>IF($V$17=Data!$A$6,INDEX(WWU!$D$11:$H$32,MATCH(V19,WWU!$B$11:$B$32,0),MATCH($V$4,WWU!$D$7:$H$7,0)),INDEX(WWU!$D$38:$H$59,MATCH(V19,WWU!$B$38:$B$59,0),MATCH($V$4,WWU!$D$7:$H$7,0)))</f>
        <v>-1.9058784481946693E-2</v>
      </c>
      <c r="AA19" s="194"/>
      <c r="AD19" s="192" t="str">
        <f>ED!$B12</f>
        <v>Totex outperformance</v>
      </c>
      <c r="AE19" s="193">
        <f>IF($AD$17=Data!$A$6,INDEX(ENWL!$D$11:$H$34,MATCH($AD19,ENWL!$B$11:$B$34,0),MATCH($V$4,ENWL!$D$6:$H$6,0)),INDEX(ENWL!$D$40:$H$63,MATCH($AD19,ENWL!$B$40:$B$63,0),MATCH($V$4,ENWL!$D$6:$H$6,0)))</f>
        <v>-5.7391933887759742E-4</v>
      </c>
      <c r="AF19" s="193">
        <f>IF($AD$17=Data!$A$6,INDEX(NGED!$D$11:$H$32,MATCH($AD19,NGED!$B$11:$B$32,0),MATCH($V$4,NGED!$D$7:$H$7,0)),INDEX(NGED!$D$38:$H$59,MATCH($AD19,NGED!$B$38:$B$59,0),MATCH($V$4,NGED!$D$7:$H$7,0)))</f>
        <v>3.330932325313465E-3</v>
      </c>
      <c r="AG19" s="193">
        <f>IF($AD$17=Data!$A$6,INDEX(NPg!$D$11:$H$32,MATCH($AD19,NPg!$B$11:$B$32,0),MATCH($V$4,NPg!$D$7:$H$7,0)),INDEX(NPg!$D$38:$H$59,MATCH($AD19,NPg!$B$38:$B$59,0),MATCH($V$4,NPg!$D$7:$H$7,0)))</f>
        <v>-1.0824372506425638E-2</v>
      </c>
      <c r="AH19" s="193">
        <f>IF($AD$17=Data!$A$6,INDEX(SPEN!$D$11:$H$32,MATCH($AD19,SPEN!$B$11:$B$32,0),MATCH($V$4,SPEN!$D$7:$H$7,0)),INDEX(SPEN!$D$38:$H$59,MATCH($AD19,SPEN!$B$38:$B$59,0),MATCH($V$4,SPEN!$D$7:$H$7,0)))</f>
        <v>0</v>
      </c>
      <c r="AI19" s="193">
        <f>IF($AD$17=Data!$A$6,INDEX(SSE!$D$11:$H$32,MATCH($AD19,SSE!$B$11:$B$32,0),MATCH($V$4,SSE!$D$7:$H$7,0)),INDEX(SSE!$D$38:$H$59,MATCH($AD19,SSE!$B$38:$B$59,0),MATCH($V$4,SSE!$D$7:$H$7,0)))</f>
        <v>2.1456134962079813E-2</v>
      </c>
      <c r="AJ19" s="193">
        <f>IF($AD$17=Data!$A$6,INDEX(UKPN!$D$11:$H$33,MATCH($AD19,UKPN!$B$11:$B$33,0),MATCH($V$4,UKPN!$D$7:$H$7,0)),INDEX(UKPN!$D$40:$H$62,MATCH($AD19,UKPN!$B$40:$B$62,0),MATCH($V$4,UKPN!$D$7:$H$7,0)))</f>
        <v>2.71938855594007E-2</v>
      </c>
    </row>
    <row r="20" spans="2:36">
      <c r="B20" s="192" t="str">
        <f>Cadent!$B13</f>
        <v>Business Plan Incentive</v>
      </c>
      <c r="C20" s="210">
        <f>IF($B$4=Data!$A$10,(IF($B$5=Data!$A$6,Cadent!$J13,Cadent!$J40)),(IF($B$5=Data!$A$6,Cadent!$K13,Cadent!$K40)))</f>
        <v>5.7700375927620474E-5</v>
      </c>
      <c r="D20" s="210">
        <f>IF($B$4=Data!$A$10,(IF($B$5=Data!$A$6,NGN!$J13,NGN!$J40)),(IF($B$5=Data!$A$6,NGN!$K13,NGN!$K40)))</f>
        <v>1.2653255816718945E-3</v>
      </c>
      <c r="E20" s="210">
        <f>IF($B$4=Data!$A$10,(IF($B$5=Data!$A$6,SGN!$J13,SGN!$J40)),(IF($B$5=Data!$A$6,SGN!$K13,SGN!$K40)))</f>
        <v>0</v>
      </c>
      <c r="F20" s="210">
        <f>IF($B$4=Data!$A$10,(IF($B$5=Data!$A$6,WWU!$J13,WWU!$J40)),(IF($B$5=Data!$A$6,WWU!$K13,WWU!$K40)))</f>
        <v>0</v>
      </c>
      <c r="G20" s="194"/>
      <c r="H20" s="194"/>
      <c r="J20" s="209" t="s">
        <v>109</v>
      </c>
      <c r="K20" s="210">
        <f>IF($B$4=Data!$A$10,(IF($B$5=Data!$A$6,ENWL!$J13,ENWL!$J42)),(IF($B$5=Data!$A$6,ENWL!$K13,ENWL!$K42)))</f>
        <v>0</v>
      </c>
      <c r="L20" s="210">
        <f>IF($B$4=Data!$A$10,(IF($B$5=Data!$A$6,NGED!$J13,NGED!$J40)),(IF($B$5=Data!$A$6,NGED!$K13,NGED!$K40)))</f>
        <v>2.5142166008231454E-4</v>
      </c>
      <c r="M20" s="210">
        <f>IF($B$4=Data!$A$10,(IF($B$5=Data!$A$6,NPg!$J13,NPg!$J40)),(IF($B$5=Data!$A$6,NPg!$K13,NPg!$K40)))</f>
        <v>0</v>
      </c>
      <c r="N20" s="210">
        <f>IF($B$4=Data!$A$10,(IF($B$5=Data!$A$6,SPEN!$J13,SPEN!$J40)),(IF($B$5=Data!$A$6,SPEN!$K13,SPEN!$K40)))</f>
        <v>0</v>
      </c>
      <c r="O20" s="210">
        <f>IF($B$4=Data!$A$10,(IF($B$5=Data!$A$6,SSE!$J13,SSE!$J40)),(IF($B$5=Data!$A$6,SSE!$K13,SSE!$K40)))</f>
        <v>3.8851136748741666E-4</v>
      </c>
      <c r="P20" s="210">
        <f>IF($B$4=Data!$A$10,(IF($B$5=Data!$A$6,UKPN!$J13,UKPN!$J42)),(IF($B$5=Data!$A$6,UKPN!$K13,UKPN!$K42)))</f>
        <v>1.8846987303657635E-3</v>
      </c>
      <c r="V20" s="192" t="str">
        <f>Cadent!$B13</f>
        <v>Business Plan Incentive</v>
      </c>
      <c r="W20" s="193">
        <f>IF($V$17=Data!$A$6,INDEX(Cadent!$D$11:$H$32,MATCH(V20,Cadent!$B$11:$B$32,0),MATCH($V$4,Cadent!$D$7:$H$7,0)),INDEX(Cadent!$D$38:$H$59,MATCH(V20,Cadent!$B$38:$B$59,0),MATCH($V$4,Cadent!$D$7:$H$7,0)))</f>
        <v>5.7696550978896654E-5</v>
      </c>
      <c r="X20" s="193">
        <f>IF($V$17=Data!$A$6,INDEX(NGN!$D$11:$H$32,MATCH(V20,NGN!$B$11:$B$32,0),MATCH($V$4,NGN!$D$7:$H$7,0)),INDEX(NGN!$D$38:$H$59,MATCH(V20,NGN!$B$38:$B$59,0),MATCH($V$4,NGN!$D$7:$H$7,0)))</f>
        <v>1.2651780560281748E-3</v>
      </c>
      <c r="Y20" s="193">
        <f>IF($V$17=Data!$A$6,INDEX(SGN!$D$11:$H$32,MATCH(V20,SGN!$B$11:$B$32,0),MATCH($V$4,SGN!$D$7:$H$7,0)),INDEX(SGN!$D$38:$H$59,MATCH(V20,SGN!$B$38:$B$59,0),MATCH($V$4,SGN!$D$7:$H$7,0)))</f>
        <v>0</v>
      </c>
      <c r="Z20" s="193">
        <f>IF($V$17=Data!$A$6,INDEX(WWU!$D$11:$H$32,MATCH(V20,WWU!$B$11:$B$32,0),MATCH($V$4,WWU!$D$7:$H$7,0)),INDEX(WWU!$D$38:$H$59,MATCH(V20,WWU!$B$38:$B$59,0),MATCH($V$4,WWU!$D$7:$H$7,0)))</f>
        <v>0</v>
      </c>
      <c r="AA20" s="194"/>
      <c r="AD20" s="192" t="str">
        <f>ED!$B13</f>
        <v>Business Plan Incentive</v>
      </c>
      <c r="AE20" s="193">
        <f>IF($AD$17=Data!$A$6,INDEX(ENWL!$D$11:$H$34,MATCH($AD20,ENWL!$B$11:$B$34,0),MATCH($V$4,ENWL!$D$6:$H$6,0)),INDEX(ENWL!$D$40:$H$63,MATCH($AD20,ENWL!$B$40:$B$63,0),MATCH($V$4,ENWL!$D$6:$H$6,0)))</f>
        <v>0</v>
      </c>
      <c r="AF20" s="193">
        <f>IF($AD$17=Data!$A$6,INDEX(NGED!$D$11:$H$32,MATCH($AD20,NGED!$B$11:$B$32,0),MATCH($V$4,NGED!$D$7:$H$7,0)),INDEX(NGED!$D$38:$H$59,MATCH($AD20,NGED!$B$38:$B$59,0),MATCH($V$4,NGED!$D$7:$H$7,0)))</f>
        <v>1.3437140142869594E-3</v>
      </c>
      <c r="AG20" s="193">
        <f>IF($AD$17=Data!$A$6,INDEX(NPg!$D$11:$H$32,MATCH($AD20,NPg!$B$11:$B$32,0),MATCH($V$4,NPg!$D$7:$H$7,0)),INDEX(NPg!$D$38:$H$59,MATCH($AD20,NPg!$B$38:$B$59,0),MATCH($V$4,NPg!$D$7:$H$7,0)))</f>
        <v>0</v>
      </c>
      <c r="AH20" s="193">
        <f>IF($AD$17=Data!$A$6,INDEX(SPEN!$D$11:$H$32,MATCH($AD20,SPEN!$B$11:$B$32,0),MATCH($V$4,SPEN!$D$7:$H$7,0)),INDEX(SPEN!$D$38:$H$59,MATCH($AD20,SPEN!$B$38:$B$59,0),MATCH($V$4,SPEN!$D$7:$H$7,0)))</f>
        <v>0</v>
      </c>
      <c r="AI20" s="193">
        <f>IF($AD$17=Data!$A$6,INDEX(SSE!$D$11:$H$32,MATCH($AD20,SSE!$B$11:$B$32,0),MATCH($V$4,SSE!$D$7:$H$7,0)),INDEX(SSE!$D$38:$H$59,MATCH($AD20,SSE!$B$38:$B$59,0),MATCH($V$4,SSE!$D$7:$H$7,0)))</f>
        <v>2.2382664812745008E-3</v>
      </c>
      <c r="AJ20" s="193">
        <f>IF($AD$17=Data!$A$6,INDEX(UKPN!$D$11:$H$33,MATCH($AD20,UKPN!$B$11:$B$33,0),MATCH($V$4,UKPN!$D$7:$H$7,0)),INDEX(UKPN!$D$40:$H$62,MATCH($AD20,UKPN!$B$40:$B$62,0),MATCH($V$4,UKPN!$D$7:$H$7,0)))</f>
        <v>1.9861404043253926E-3</v>
      </c>
    </row>
    <row r="21" spans="2:36">
      <c r="B21" s="192" t="str">
        <f>Cadent!$B14</f>
        <v>Customer Satisfaction Survey ODI</v>
      </c>
      <c r="C21" s="210">
        <f>IF($B$4=Data!$A$10,(IF($B$5=Data!$A$6,Cadent!$J14,Cadent!$J41)),(IF($B$5=Data!$A$6,Cadent!$K14,Cadent!$K41)))</f>
        <v>1.4860588937783952E-3</v>
      </c>
      <c r="D21" s="210">
        <f>IF($B$4=Data!$A$10,(IF($B$5=Data!$A$6,NGN!$J14,NGN!$J41)),(IF($B$5=Data!$A$6,NGN!$K14,NGN!$K41)))</f>
        <v>1.6945138822083189E-3</v>
      </c>
      <c r="E21" s="210">
        <f>IF($B$4=Data!$A$10,(IF($B$5=Data!$A$6,SGN!$J14,SGN!$J41)),(IF($B$5=Data!$A$6,SGN!$K14,SGN!$K41)))</f>
        <v>6.7420843350333764E-4</v>
      </c>
      <c r="F21" s="210">
        <f>IF($B$4=Data!$A$10,(IF($B$5=Data!$A$6,WWU!$J14,WWU!$J41)),(IF($B$5=Data!$A$6,WWU!$K14,WWU!$K41)))</f>
        <v>1.3977207216437418E-3</v>
      </c>
      <c r="G21" s="194"/>
      <c r="H21" s="194"/>
      <c r="J21" s="209" t="s">
        <v>110</v>
      </c>
      <c r="K21" s="210">
        <f>IF($B$4=Data!$A$10,(IF($B$5=Data!$A$6,ENWL!$J14,ENWL!$J43)),(IF($B$5=Data!$A$6,ENWL!$K14,ENWL!$K43)))</f>
        <v>1.1781084950399842E-3</v>
      </c>
      <c r="L21" s="210">
        <f>IF($B$4=Data!$A$10,(IF($B$5=Data!$A$6,NGED!$J14,NGED!$J41)),(IF($B$5=Data!$A$6,NGED!$K14,NGED!$K41)))</f>
        <v>6.8250172860377818E-4</v>
      </c>
      <c r="M21" s="210">
        <f>IF($B$4=Data!$A$10,(IF($B$5=Data!$A$6,NPg!$J14,NPg!$J41)),(IF($B$5=Data!$A$6,NPg!$K14,NPg!$K41)))</f>
        <v>-7.9196488635813945E-5</v>
      </c>
      <c r="N21" s="210">
        <f>IF($B$4=Data!$A$10,(IF($B$5=Data!$A$6,SPEN!$J14,SPEN!$J41)),(IF($B$5=Data!$A$6,SPEN!$K14,SPEN!$K41)))</f>
        <v>3.1743372202542035E-4</v>
      </c>
      <c r="O21" s="210">
        <f>IF($B$4=Data!$A$10,(IF($B$5=Data!$A$6,SSE!$J14,SSE!$J41)),(IF($B$5=Data!$A$6,SSE!$K14,SSE!$K41)))</f>
        <v>4.6946362625081253E-4</v>
      </c>
      <c r="P21" s="210">
        <f>IF($B$4=Data!$A$10,(IF($B$5=Data!$A$6,UKPN!$J14,UKPN!$J43)),(IF($B$5=Data!$A$6,UKPN!$K14,UKPN!$K43)))</f>
        <v>5.9487987206634587E-4</v>
      </c>
      <c r="V21" s="192" t="str">
        <f>Cadent!$B14</f>
        <v>Customer Satisfaction Survey ODI</v>
      </c>
      <c r="W21" s="193">
        <f>IF($V$17=Data!$A$6,INDEX(Cadent!$D$11:$H$32,MATCH(V21,Cadent!$B$11:$B$32,0),MATCH($V$4,Cadent!$D$7:$H$7,0)),INDEX(Cadent!$D$38:$H$59,MATCH(V21,Cadent!$B$38:$B$59,0),MATCH($V$4,Cadent!$D$7:$H$7,0)))</f>
        <v>1.5340005423185514E-3</v>
      </c>
      <c r="X21" s="193">
        <f>IF($V$17=Data!$A$6,INDEX(NGN!$D$11:$H$32,MATCH(V21,NGN!$B$11:$B$32,0),MATCH($V$4,NGN!$D$7:$H$7,0)),INDEX(NGN!$D$38:$H$59,MATCH(V21,NGN!$B$38:$B$59,0),MATCH($V$4,NGN!$D$7:$H$7,0)))</f>
        <v>1.7224405143556945E-3</v>
      </c>
      <c r="Y21" s="193">
        <f>IF($V$17=Data!$A$6,INDEX(SGN!$D$11:$H$32,MATCH(V21,SGN!$B$11:$B$32,0),MATCH($V$4,SGN!$D$7:$H$7,0)),INDEX(SGN!$D$38:$H$59,MATCH(V21,SGN!$B$38:$B$59,0),MATCH($V$4,SGN!$D$7:$H$7,0)))</f>
        <v>1.5982461665271298E-3</v>
      </c>
      <c r="Z21" s="193">
        <f>IF($V$17=Data!$A$6,INDEX(WWU!$D$11:$H$32,MATCH(V21,WWU!$B$11:$B$32,0),MATCH($V$4,WWU!$D$7:$H$7,0)),INDEX(WWU!$D$38:$H$59,MATCH(V21,WWU!$B$38:$B$59,0),MATCH($V$4,WWU!$D$7:$H$7,0)))</f>
        <v>1.2890542429678821E-3</v>
      </c>
      <c r="AA21" s="194"/>
      <c r="AD21" s="192" t="str">
        <f>ED!$B14</f>
        <v>Time to connect ODI</v>
      </c>
      <c r="AE21" s="193">
        <f>IF($AD$17=Data!$A$6,INDEX(ENWL!$D$11:$H$34,MATCH($AD21,ENWL!$B$11:$B$34,0),MATCH($V$4,ENWL!$D$6:$H$6,0)),INDEX(ENWL!$D$40:$H$63,MATCH($AD21,ENWL!$B$40:$B$63,0),MATCH($V$4,ENWL!$D$6:$H$6,0)))</f>
        <v>1.0920452136409205E-3</v>
      </c>
      <c r="AF21" s="193">
        <f>IF($AD$17=Data!$A$6,INDEX(NGED!$D$11:$H$32,MATCH($AD21,NGED!$B$11:$B$32,0),MATCH($V$4,NGED!$D$7:$H$7,0)),INDEX(NGED!$D$38:$H$59,MATCH($AD21,NGED!$B$38:$B$59,0),MATCH($V$4,NGED!$D$7:$H$7,0)))</f>
        <v>6.6806615621978226E-4</v>
      </c>
      <c r="AG21" s="193">
        <f>IF($AD$17=Data!$A$6,INDEX(NPg!$D$11:$H$32,MATCH($AD21,NPg!$B$11:$B$32,0),MATCH($V$4,NPg!$D$7:$H$7,0)),INDEX(NPg!$D$38:$H$59,MATCH($AD21,NPg!$B$38:$B$59,0),MATCH($V$4,NPg!$D$7:$H$7,0)))</f>
        <v>-1.4564592873236642E-4</v>
      </c>
      <c r="AH21" s="193">
        <f>IF($AD$17=Data!$A$6,INDEX(SPEN!$D$11:$H$32,MATCH($AD21,SPEN!$B$11:$B$32,0),MATCH($V$4,SPEN!$D$7:$H$7,0)),INDEX(SPEN!$D$38:$H$59,MATCH($AD21,SPEN!$B$38:$B$59,0),MATCH($V$4,SPEN!$D$7:$H$7,0)))</f>
        <v>3.291146161147099E-4</v>
      </c>
      <c r="AI21" s="193">
        <f>IF($AD$17=Data!$A$6,INDEX(SSE!$D$11:$H$32,MATCH($AD21,SSE!$B$11:$B$32,0),MATCH($V$4,SSE!$D$7:$H$7,0)),INDEX(SSE!$D$38:$H$59,MATCH($AD21,SSE!$B$38:$B$59,0),MATCH($V$4,SSE!$D$7:$H$7,0)))</f>
        <v>5.8930350728657831E-4</v>
      </c>
      <c r="AJ21" s="193">
        <f>IF($AD$17=Data!$A$6,INDEX(UKPN!$D$11:$H$33,MATCH($AD21,UKPN!$B$11:$B$33,0),MATCH($V$4,UKPN!$D$7:$H$7,0)),INDEX(UKPN!$D$40:$H$62,MATCH($AD21,UKPN!$B$40:$B$62,0),MATCH($V$4,UKPN!$D$7:$H$7,0)))</f>
        <v>6.231564885355777E-4</v>
      </c>
    </row>
    <row r="22" spans="2:36">
      <c r="B22" s="192" t="str">
        <f>Cadent!$B15</f>
        <v>Complaints metric ODI</v>
      </c>
      <c r="C22" s="210">
        <f>IF($B$4=Data!$A$10,(IF($B$5=Data!$A$6,Cadent!$J15,Cadent!$J42)),(IF($B$5=Data!$A$6,Cadent!$K15,Cadent!$K42)))</f>
        <v>0</v>
      </c>
      <c r="D22" s="210">
        <f>IF($B$4=Data!$A$10,(IF($B$5=Data!$A$6,NGN!$J15,NGN!$J42)),(IF($B$5=Data!$A$6,NGN!$K15,NGN!$K42)))</f>
        <v>0</v>
      </c>
      <c r="E22" s="210">
        <f>IF($B$4=Data!$A$10,(IF($B$5=Data!$A$6,SGN!$J15,SGN!$J42)),(IF($B$5=Data!$A$6,SGN!$K15,SGN!$K42)))</f>
        <v>0</v>
      </c>
      <c r="F22" s="210">
        <f>IF($B$4=Data!$A$10,(IF($B$5=Data!$A$6,WWU!$J15,WWU!$J42)),(IF($B$5=Data!$A$6,WWU!$K15,WWU!$K42)))</f>
        <v>0</v>
      </c>
      <c r="G22" s="194"/>
      <c r="J22" s="209" t="s">
        <v>111</v>
      </c>
      <c r="K22" s="210">
        <f>IF($B$4=Data!$A$10,(IF($B$5=Data!$A$6,ENWL!$J15,ENWL!$J44)),(IF($B$5=Data!$A$6,ENWL!$K15,ENWL!$K44)))</f>
        <v>2.3842384898093358E-3</v>
      </c>
      <c r="L22" s="210">
        <f>IF($B$4=Data!$A$10,(IF($B$5=Data!$A$6,NGED!$J15,NGED!$J42)),(IF($B$5=Data!$A$6,NGED!$K15,NGED!$K42)))</f>
        <v>1.3795667228578597E-4</v>
      </c>
      <c r="M22" s="210">
        <f>IF($B$4=Data!$A$10,(IF($B$5=Data!$A$6,NPg!$J15,NPg!$J42)),(IF($B$5=Data!$A$6,NPg!$K15,NPg!$K42)))</f>
        <v>2.2067848585522804E-4</v>
      </c>
      <c r="N22" s="210">
        <f>IF($B$4=Data!$A$10,(IF($B$5=Data!$A$6,SPEN!$J15,SPEN!$J42)),(IF($B$5=Data!$A$6,SPEN!$K15,SPEN!$K42)))</f>
        <v>2.5375693961090131E-3</v>
      </c>
      <c r="O22" s="210">
        <f>IF($B$4=Data!$A$10,(IF($B$5=Data!$A$6,SSE!$J15,SSE!$J42)),(IF($B$5=Data!$A$6,SSE!$K15,SSE!$K42)))</f>
        <v>8.3105533752955588E-4</v>
      </c>
      <c r="P22" s="210">
        <f>IF($B$4=Data!$A$10,(IF($B$5=Data!$A$6,UKPN!$J15,UKPN!$J44)),(IF($B$5=Data!$A$6,UKPN!$K15,UKPN!$K44)))</f>
        <v>2.9933951006908773E-3</v>
      </c>
      <c r="V22" s="192" t="str">
        <f>Cadent!$B15</f>
        <v>Complaints metric ODI</v>
      </c>
      <c r="W22" s="193">
        <f>IF($V$17=Data!$A$6,INDEX(Cadent!$D$11:$H$32,MATCH(V22,Cadent!$B$11:$B$32,0),MATCH($V$4,Cadent!$D$7:$H$7,0)),INDEX(Cadent!$D$38:$H$59,MATCH(V22,Cadent!$B$38:$B$59,0),MATCH($V$4,Cadent!$D$7:$H$7,0)))</f>
        <v>0</v>
      </c>
      <c r="X22" s="193">
        <f>IF($V$17=Data!$A$6,INDEX(NGN!$D$11:$H$32,MATCH(V22,NGN!$B$11:$B$32,0),MATCH($V$4,NGN!$D$7:$H$7,0)),INDEX(NGN!$D$38:$H$59,MATCH(V22,NGN!$B$38:$B$59,0),MATCH($V$4,NGN!$D$7:$H$7,0)))</f>
        <v>0</v>
      </c>
      <c r="Y22" s="193">
        <f>IF($V$17=Data!$A$6,INDEX(SGN!$D$11:$H$32,MATCH(V22,SGN!$B$11:$B$32,0),MATCH($V$4,SGN!$D$7:$H$7,0)),INDEX(SGN!$D$38:$H$59,MATCH(V22,SGN!$B$38:$B$59,0),MATCH($V$4,SGN!$D$7:$H$7,0)))</f>
        <v>0</v>
      </c>
      <c r="Z22" s="193">
        <f>IF($V$17=Data!$A$6,INDEX(WWU!$D$11:$H$32,MATCH(V22,WWU!$B$11:$B$32,0),MATCH($V$4,WWU!$D$7:$H$7,0)),INDEX(WWU!$D$38:$H$59,MATCH(V22,WWU!$B$38:$B$59,0),MATCH($V$4,WWU!$D$7:$H$7,0)))</f>
        <v>0</v>
      </c>
      <c r="AA22" s="194"/>
      <c r="AD22" s="192" t="str">
        <f>ED!$B15</f>
        <v>Broad Measure of Customer Service ODI</v>
      </c>
      <c r="AE22" s="193">
        <f>IF($AD$17=Data!$A$6,INDEX(ENWL!$D$11:$H$34,MATCH($AD22,ENWL!$B$11:$B$34,0),MATCH($V$4,ENWL!$D$6:$H$6,0)),INDEX(ENWL!$D$40:$H$63,MATCH($AD22,ENWL!$B$40:$B$63,0),MATCH($V$4,ENWL!$D$6:$H$6,0)))</f>
        <v>1.4450326731380808E-3</v>
      </c>
      <c r="AF22" s="193">
        <f>IF($AD$17=Data!$A$6,INDEX(NGED!$D$11:$H$32,MATCH($AD22,NGED!$B$11:$B$32,0),MATCH($V$4,NGED!$D$7:$H$7,0)),INDEX(NGED!$D$38:$H$59,MATCH($AD22,NGED!$B$38:$B$59,0),MATCH($V$4,NGED!$D$7:$H$7,0)))</f>
        <v>-2.2186059491035457E-5</v>
      </c>
      <c r="AG22" s="193">
        <f>IF($AD$17=Data!$A$6,INDEX(NPg!$D$11:$H$32,MATCH($AD22,NPg!$B$11:$B$32,0),MATCH($V$4,NPg!$D$7:$H$7,0)),INDEX(NPg!$D$38:$H$59,MATCH($AD22,NPg!$B$38:$B$59,0),MATCH($V$4,NPg!$D$7:$H$7,0)))</f>
        <v>-2.0130725366866564E-3</v>
      </c>
      <c r="AH22" s="193">
        <f>IF($AD$17=Data!$A$6,INDEX(SPEN!$D$11:$H$32,MATCH($AD22,SPEN!$B$11:$B$32,0),MATCH($V$4,SPEN!$D$7:$H$7,0)),INDEX(SPEN!$D$38:$H$59,MATCH($AD22,SPEN!$B$38:$B$59,0),MATCH($V$4,SPEN!$D$7:$H$7,0)))</f>
        <v>9.8742270206171861E-4</v>
      </c>
      <c r="AI22" s="193">
        <f>IF($AD$17=Data!$A$6,INDEX(SSE!$D$11:$H$32,MATCH($AD22,SSE!$B$11:$B$32,0),MATCH($V$4,SSE!$D$7:$H$7,0)),INDEX(SSE!$D$38:$H$59,MATCH($AD22,SSE!$B$38:$B$59,0),MATCH($V$4,SSE!$D$7:$H$7,0)))</f>
        <v>-1.8154054638323822E-3</v>
      </c>
      <c r="AJ22" s="193">
        <f>IF($AD$17=Data!$A$6,INDEX(UKPN!$D$11:$H$33,MATCH($AD22,UKPN!$B$11:$B$33,0),MATCH($V$4,UKPN!$D$7:$H$7,0)),INDEX(UKPN!$D$40:$H$62,MATCH($AD22,UKPN!$B$40:$B$62,0),MATCH($V$4,UKPN!$D$7:$H$7,0)))</f>
        <v>3.1545110418990004E-3</v>
      </c>
    </row>
    <row r="23" spans="2:36">
      <c r="B23" s="192" t="str">
        <f>Cadent!$B16</f>
        <v>Unplanned Interruption Mean Duration ODI [NGN, SGN and WWU]</v>
      </c>
      <c r="C23" s="210">
        <f>IF($B$4=Data!$A$10,(IF($B$5=Data!$A$6,Cadent!$J16,Cadent!$J43)),(IF($B$5=Data!$A$6,Cadent!$K16,Cadent!$K43)))</f>
        <v>0</v>
      </c>
      <c r="D23" s="210">
        <f>IF($B$4=Data!$A$10,(IF($B$5=Data!$A$6,NGN!$J16,NGN!$J43)),(IF($B$5=Data!$A$6,NGN!$K16,NGN!$K43)))</f>
        <v>0</v>
      </c>
      <c r="E23" s="210">
        <f>IF($B$4=Data!$A$10,(IF($B$5=Data!$A$6,SGN!$J16,SGN!$J43)),(IF($B$5=Data!$A$6,SGN!$K16,SGN!$K43)))</f>
        <v>-4.0129071910454116E-4</v>
      </c>
      <c r="F23" s="210">
        <f>IF($B$4=Data!$A$10,(IF($B$5=Data!$A$6,WWU!$J16,WWU!$J43)),(IF($B$5=Data!$A$6,WWU!$K16,WWU!$K43)))</f>
        <v>0</v>
      </c>
      <c r="G23" s="194"/>
      <c r="J23" s="209" t="s">
        <v>112</v>
      </c>
      <c r="K23" s="210">
        <f>IF($B$4=Data!$A$10,(IF($B$5=Data!$A$6,ENWL!$J16,ENWL!$J45)),(IF($B$5=Data!$A$6,ENWL!$K16,ENWL!$K45)))</f>
        <v>2.3564402974988411E-3</v>
      </c>
      <c r="L23" s="210">
        <f>IF($B$4=Data!$A$10,(IF($B$5=Data!$A$6,NGED!$J16,NGED!$J43)),(IF($B$5=Data!$A$6,NGED!$K16,NGED!$K43)))</f>
        <v>-3.6891363744659471E-4</v>
      </c>
      <c r="M23" s="210">
        <f>IF($B$4=Data!$A$10,(IF($B$5=Data!$A$6,NPg!$J16,NPg!$J43)),(IF($B$5=Data!$A$6,NPg!$K16,NPg!$K43)))</f>
        <v>-8.2984866206377631E-4</v>
      </c>
      <c r="N23" s="210">
        <f>IF($B$4=Data!$A$10,(IF($B$5=Data!$A$6,SPEN!$J16,SPEN!$J43)),(IF($B$5=Data!$A$6,SPEN!$K16,SPEN!$K43)))</f>
        <v>1.4298526576843945E-3</v>
      </c>
      <c r="O23" s="210">
        <f>IF($B$4=Data!$A$10,(IF($B$5=Data!$A$6,SSE!$J16,SSE!$J43)),(IF($B$5=Data!$A$6,SSE!$K16,SSE!$K43)))</f>
        <v>-1.1048222168567677E-3</v>
      </c>
      <c r="P23" s="210">
        <f>IF($B$4=Data!$A$10,(IF($B$5=Data!$A$6,UKPN!$J16,UKPN!$J45)),(IF($B$5=Data!$A$6,UKPN!$K16,UKPN!$K45)))</f>
        <v>5.7795692358531285E-4</v>
      </c>
      <c r="V23" s="192" t="str">
        <f>Cadent!$B16</f>
        <v>Unplanned Interruption Mean Duration ODI [NGN, SGN and WWU]</v>
      </c>
      <c r="W23" s="193">
        <f>IF($V$17=Data!$A$6,INDEX(Cadent!$D$11:$H$32,MATCH(V23,Cadent!$B$11:$B$32,0),MATCH($V$4,Cadent!$D$7:$H$7,0)),INDEX(Cadent!$D$38:$H$59,MATCH(V23,Cadent!$B$38:$B$59,0),MATCH($V$4,Cadent!$D$7:$H$7,0)))</f>
        <v>0</v>
      </c>
      <c r="X23" s="193">
        <f>IF($V$17=Data!$A$6,INDEX(NGN!$D$11:$H$32,MATCH(V23,NGN!$B$11:$B$32,0),MATCH($V$4,NGN!$D$7:$H$7,0)),INDEX(NGN!$D$38:$H$59,MATCH(V23,NGN!$B$38:$B$59,0),MATCH($V$4,NGN!$D$7:$H$7,0)))</f>
        <v>0</v>
      </c>
      <c r="Y23" s="193">
        <f>IF($V$17=Data!$A$6,INDEX(SGN!$D$11:$H$32,MATCH(V23,SGN!$B$11:$B$32,0),MATCH($V$4,SGN!$D$7:$H$7,0)),INDEX(SGN!$D$38:$H$59,MATCH(V23,SGN!$B$38:$B$59,0),MATCH($V$4,SGN!$D$7:$H$7,0)))</f>
        <v>-1.361275568496598E-3</v>
      </c>
      <c r="Z23" s="193">
        <f>IF($V$17=Data!$A$6,INDEX(WWU!$D$11:$H$32,MATCH(V23,WWU!$B$11:$B$32,0),MATCH($V$4,WWU!$D$7:$H$7,0)),INDEX(WWU!$D$38:$H$59,MATCH(V23,WWU!$B$38:$B$59,0),MATCH($V$4,WWU!$D$7:$H$7,0)))</f>
        <v>0</v>
      </c>
      <c r="AA23" s="194"/>
      <c r="AD23" s="192" t="str">
        <f>ED!$B16</f>
        <v>Interruptions incentive scheme ODI</v>
      </c>
      <c r="AE23" s="193">
        <f>IF($AD$17=Data!$A$6,INDEX(ENWL!$D$11:$H$34,MATCH($AD23,ENWL!$B$11:$B$34,0),MATCH($V$4,ENWL!$D$6:$H$6,0)),INDEX(ENWL!$D$40:$H$63,MATCH($AD23,ENWL!$B$40:$B$63,0),MATCH($V$4,ENWL!$D$6:$H$6,0)))</f>
        <v>1.0895394873630133E-3</v>
      </c>
      <c r="AF23" s="193">
        <f>IF($AD$17=Data!$A$6,INDEX(NGED!$D$11:$H$32,MATCH($AD23,NGED!$B$11:$B$32,0),MATCH($V$4,NGED!$D$7:$H$7,0)),INDEX(NGED!$D$38:$H$59,MATCH($AD23,NGED!$B$38:$B$59,0),MATCH($V$4,NGED!$D$7:$H$7,0)))</f>
        <v>-1.9716456590743716E-3</v>
      </c>
      <c r="AG23" s="193">
        <f>IF($AD$17=Data!$A$6,INDEX(NPg!$D$11:$H$32,MATCH($AD23,NPg!$B$11:$B$32,0),MATCH($V$4,NPg!$D$7:$H$7,0)),INDEX(NPg!$D$38:$H$59,MATCH($AD23,NPg!$B$38:$B$59,0),MATCH($V$4,NPg!$D$7:$H$7,0)))</f>
        <v>-7.0461339380814931E-3</v>
      </c>
      <c r="AH23" s="193">
        <f>IF($AD$17=Data!$A$6,INDEX(SPEN!$D$11:$H$32,MATCH($AD23,SPEN!$B$11:$B$32,0),MATCH($V$4,SPEN!$D$7:$H$7,0)),INDEX(SPEN!$D$38:$H$59,MATCH($AD23,SPEN!$B$38:$B$59,0),MATCH($V$4,SPEN!$D$7:$H$7,0)))</f>
        <v>1.6442008066123565E-3</v>
      </c>
      <c r="AI23" s="193">
        <f>IF($AD$17=Data!$A$6,INDEX(SSE!$D$11:$H$32,MATCH($AD23,SSE!$B$11:$B$32,0),MATCH($V$4,SSE!$D$7:$H$7,0)),INDEX(SSE!$D$38:$H$59,MATCH($AD23,SSE!$B$38:$B$59,0),MATCH($V$4,SSE!$D$7:$H$7,0)))</f>
        <v>-6.9120340998830004E-3</v>
      </c>
      <c r="AJ23" s="193">
        <f>IF($AD$17=Data!$A$6,INDEX(UKPN!$D$11:$H$33,MATCH($AD23,UKPN!$B$11:$B$33,0),MATCH($V$4,UKPN!$D$7:$H$7,0)),INDEX(UKPN!$D$40:$H$62,MATCH($AD23,UKPN!$B$40:$B$62,0),MATCH($V$4,UKPN!$D$7:$H$7,0)))</f>
        <v>-2.3335405688817644E-3</v>
      </c>
    </row>
    <row r="24" spans="2:36">
      <c r="B24" s="192" t="str">
        <f>Cadent!$B17</f>
        <v>Unplanned Interruption Mean Duration ODI [Cadent only]</v>
      </c>
      <c r="C24" s="210">
        <f>IF($B$4=Data!$A$10,(IF($B$5=Data!$A$6,Cadent!$J17,Cadent!$J44)),(IF($B$5=Data!$A$6,Cadent!$K17,Cadent!$K44)))</f>
        <v>0</v>
      </c>
      <c r="D24" s="210">
        <f>IF($B$4=Data!$A$10,(IF($B$5=Data!$A$6,NGN!$J17,NGN!$J44)),(IF($B$5=Data!$A$6,NGN!$K17,NGN!$K44)))</f>
        <v>0</v>
      </c>
      <c r="E24" s="210">
        <f>IF($B$4=Data!$A$10,(IF($B$5=Data!$A$6,SGN!$J17,SGN!$J44)),(IF($B$5=Data!$A$6,SGN!$K17,SGN!$K44)))</f>
        <v>0</v>
      </c>
      <c r="F24" s="210">
        <f>IF($B$4=Data!$A$10,(IF($B$5=Data!$A$6,WWU!$J17,WWU!$J44)),(IF($B$5=Data!$A$6,WWU!$K17,WWU!$K44)))</f>
        <v>0</v>
      </c>
      <c r="G24" s="194"/>
      <c r="J24" s="209" t="s">
        <v>113</v>
      </c>
      <c r="K24" s="210">
        <f>IF($B$4=Data!$A$10,(IF($B$5=Data!$A$6,ENWL!$J17,ENWL!$J46)),(IF($B$5=Data!$A$6,ENWL!$K17,ENWL!$K46)))</f>
        <v>0</v>
      </c>
      <c r="L24" s="210">
        <f>IF($B$4=Data!$A$10,(IF($B$5=Data!$A$6,NGED!$J17,NGED!$J44)),(IF($B$5=Data!$A$6,NGED!$K17,NGED!$K44)))</f>
        <v>0</v>
      </c>
      <c r="M24" s="210">
        <f>IF($B$4=Data!$A$10,(IF($B$5=Data!$A$6,NPg!$J17,NPg!$J44)),(IF($B$5=Data!$A$6,NPg!$K17,NPg!$K44)))</f>
        <v>0</v>
      </c>
      <c r="N24" s="210">
        <f>IF($B$4=Data!$A$10,(IF($B$5=Data!$A$6,SPEN!$J17,SPEN!$J44)),(IF($B$5=Data!$A$6,SPEN!$K17,SPEN!$K44)))</f>
        <v>0</v>
      </c>
      <c r="O24" s="210">
        <f>IF($B$4=Data!$A$10,(IF($B$5=Data!$A$6,SSE!$J17,SSE!$J44)),(IF($B$5=Data!$A$6,SSE!$K17,SSE!$K44)))</f>
        <v>-8.0836704191110774E-5</v>
      </c>
      <c r="P24" s="210">
        <f>IF($B$4=Data!$A$10,(IF($B$5=Data!$A$6,UKPN!$J17,UKPN!$J46)),(IF($B$5=Data!$A$6,UKPN!$K17,UKPN!$K46)))</f>
        <v>0</v>
      </c>
      <c r="V24" s="192" t="str">
        <f>Cadent!$B17</f>
        <v>Unplanned Interruption Mean Duration ODI [Cadent only]</v>
      </c>
      <c r="W24" s="193">
        <f>IF($V$17=Data!$A$6,INDEX(Cadent!$D$11:$H$32,MATCH(V24,Cadent!$B$11:$B$32,0),MATCH($V$4,Cadent!$D$7:$H$7,0)),INDEX(Cadent!$D$38:$H$59,MATCH(V24,Cadent!$B$38:$B$59,0),MATCH($V$4,Cadent!$D$7:$H$7,0)))</f>
        <v>0</v>
      </c>
      <c r="X24" s="193">
        <f>IF($V$17=Data!$A$6,INDEX(NGN!$D$11:$H$32,MATCH(V24,NGN!$B$11:$B$32,0),MATCH($V$4,NGN!$D$7:$H$7,0)),INDEX(NGN!$D$38:$H$59,MATCH(V24,NGN!$B$38:$B$59,0),MATCH($V$4,NGN!$D$7:$H$7,0)))</f>
        <v>0</v>
      </c>
      <c r="Y24" s="193">
        <f>IF($V$17=Data!$A$6,INDEX(SGN!$D$11:$H$32,MATCH(V24,SGN!$B$11:$B$32,0),MATCH($V$4,SGN!$D$7:$H$7,0)),INDEX(SGN!$D$38:$H$59,MATCH(V24,SGN!$B$38:$B$59,0),MATCH($V$4,SGN!$D$7:$H$7,0)))</f>
        <v>0</v>
      </c>
      <c r="Z24" s="193">
        <f>IF($V$17=Data!$A$6,INDEX(WWU!$D$11:$H$32,MATCH(V24,WWU!$B$11:$B$32,0),MATCH($V$4,WWU!$D$7:$H$7,0)),INDEX(WWU!$D$38:$H$59,MATCH(V24,WWU!$B$38:$B$59,0),MATCH($V$4,WWU!$D$7:$H$7,0)))</f>
        <v>0</v>
      </c>
      <c r="AA24" s="194"/>
      <c r="AD24" s="192" t="str">
        <f>ED!$B17</f>
        <v>Major connections ODI</v>
      </c>
      <c r="AE24" s="193">
        <f>IF($AD$17=Data!$A$6,INDEX(ENWL!$D$11:$H$34,MATCH($AD24,ENWL!$B$11:$B$34,0),MATCH($V$4,ENWL!$D$6:$H$6,0)),INDEX(ENWL!$D$40:$H$63,MATCH($AD24,ENWL!$B$40:$B$63,0),MATCH($V$4,ENWL!$D$6:$H$6,0)))</f>
        <v>0</v>
      </c>
      <c r="AF24" s="193">
        <f>IF($AD$17=Data!$A$6,INDEX(NGED!$D$11:$H$32,MATCH($AD24,NGED!$B$11:$B$32,0),MATCH($V$4,NGED!$D$7:$H$7,0)),INDEX(NGED!$D$38:$H$59,MATCH($AD24,NGED!$B$38:$B$59,0),MATCH($V$4,NGED!$D$7:$H$7,0)))</f>
        <v>0</v>
      </c>
      <c r="AG24" s="193">
        <f>IF($AD$17=Data!$A$6,INDEX(NPg!$D$11:$H$32,MATCH($AD24,NPg!$B$11:$B$32,0),MATCH($V$4,NPg!$D$7:$H$7,0)),INDEX(NPg!$D$38:$H$59,MATCH($AD24,NPg!$B$38:$B$59,0),MATCH($V$4,NPg!$D$7:$H$7,0)))</f>
        <v>0</v>
      </c>
      <c r="AH24" s="193">
        <f>IF($AD$17=Data!$A$6,INDEX(SPEN!$D$11:$H$32,MATCH($AD24,SPEN!$B$11:$B$32,0),MATCH($V$4,SPEN!$D$7:$H$7,0)),INDEX(SPEN!$D$38:$H$59,MATCH($AD24,SPEN!$B$38:$B$59,0),MATCH($V$4,SPEN!$D$7:$H$7,0)))</f>
        <v>0</v>
      </c>
      <c r="AI24" s="193">
        <f>IF($AD$17=Data!$A$6,INDEX(SSE!$D$11:$H$32,MATCH($AD24,SSE!$B$11:$B$32,0),MATCH($V$4,SSE!$D$7:$H$7,0)),INDEX(SSE!$D$38:$H$59,MATCH($AD24,SSE!$B$38:$B$59,0),MATCH($V$4,SSE!$D$7:$H$7,0)))</f>
        <v>-4.6571117498518341E-4</v>
      </c>
      <c r="AJ24" s="193">
        <f>IF($AD$17=Data!$A$6,INDEX(UKPN!$D$11:$H$33,MATCH($AD24,UKPN!$B$11:$B$33,0),MATCH($V$4,UKPN!$D$7:$H$7,0)),INDEX(UKPN!$D$40:$H$62,MATCH($AD24,UKPN!$B$40:$B$62,0),MATCH($V$4,UKPN!$D$7:$H$7,0)))</f>
        <v>0</v>
      </c>
    </row>
    <row r="25" spans="2:36">
      <c r="B25" s="192" t="str">
        <f>Cadent!$B18</f>
        <v>Shrinkage Management ODI</v>
      </c>
      <c r="C25" s="210">
        <f>IF($B$4=Data!$A$10,(IF($B$5=Data!$A$6,Cadent!$J18,Cadent!$J45)),(IF($B$5=Data!$A$6,Cadent!$K18,Cadent!$K45)))</f>
        <v>1.0030526897807E-4</v>
      </c>
      <c r="D25" s="210">
        <f>IF($B$4=Data!$A$10,(IF($B$5=Data!$A$6,NGN!$J18,NGN!$J45)),(IF($B$5=Data!$A$6,NGN!$K18,NGN!$K45)))</f>
        <v>1.8388880043781333E-4</v>
      </c>
      <c r="E25" s="210">
        <f>IF($B$4=Data!$A$10,(IF($B$5=Data!$A$6,SGN!$J18,SGN!$J45)),(IF($B$5=Data!$A$6,SGN!$K18,SGN!$K45)))</f>
        <v>1.0761096342497801E-4</v>
      </c>
      <c r="F25" s="210">
        <f>IF($B$4=Data!$A$10,(IF($B$5=Data!$A$6,WWU!$J18,WWU!$J45)),(IF($B$5=Data!$A$6,WWU!$K18,WWU!$K45)))</f>
        <v>2.5016476765448678E-4</v>
      </c>
      <c r="G25" s="194"/>
      <c r="J25" s="209" t="s">
        <v>114</v>
      </c>
      <c r="K25" s="210">
        <f>IF($B$4=Data!$A$10,(IF($B$5=Data!$A$6,ENWL!$J18,ENWL!$J47)),(IF($B$5=Data!$A$6,ENWL!$K18,ENWL!$K47)))</f>
        <v>1.076901441725188E-3</v>
      </c>
      <c r="L25" s="210">
        <f>IF($B$4=Data!$A$10,(IF($B$5=Data!$A$6,NGED!$J18,NGED!$J45)),(IF($B$5=Data!$A$6,NGED!$K18,NGED!$K45)))</f>
        <v>0</v>
      </c>
      <c r="M25" s="210">
        <f>IF($B$4=Data!$A$10,(IF($B$5=Data!$A$6,NPg!$J18,NPg!$J45)),(IF($B$5=Data!$A$6,NPg!$K18,NPg!$K45)))</f>
        <v>0</v>
      </c>
      <c r="N25" s="210">
        <f>IF($B$4=Data!$A$10,(IF($B$5=Data!$A$6,SPEN!$J18,SPEN!$J45)),(IF($B$5=Data!$A$6,SPEN!$K18,SPEN!$K45)))</f>
        <v>1.5408728468529009E-3</v>
      </c>
      <c r="O25" s="210">
        <f>IF($B$4=Data!$A$10,(IF($B$5=Data!$A$6,SSE!$J18,SSE!$J45)),(IF($B$5=Data!$A$6,SSE!$K18,SSE!$K45)))</f>
        <v>7.3139525758367837E-4</v>
      </c>
      <c r="P25" s="210">
        <f>IF($B$4=Data!$A$10,(IF($B$5=Data!$A$6,UKPN!$J18,UKPN!$J47)),(IF($B$5=Data!$A$6,UKPN!$K18,UKPN!$K47)))</f>
        <v>1.3023026003844158E-3</v>
      </c>
      <c r="V25" s="192" t="str">
        <f>Cadent!$B18</f>
        <v>Shrinkage Management ODI</v>
      </c>
      <c r="W25" s="193">
        <f>IF($V$17=Data!$A$6,INDEX(Cadent!$D$11:$H$32,MATCH(V25,Cadent!$B$11:$B$32,0),MATCH($V$4,Cadent!$D$7:$H$7,0)),INDEX(Cadent!$D$38:$H$59,MATCH(V25,Cadent!$B$38:$B$59,0),MATCH($V$4,Cadent!$D$7:$H$7,0)))</f>
        <v>2.1060335680839033E-5</v>
      </c>
      <c r="X25" s="193">
        <f>IF($V$17=Data!$A$6,INDEX(NGN!$D$11:$H$32,MATCH(V25,NGN!$B$11:$B$32,0),MATCH($V$4,NGN!$D$7:$H$7,0)),INDEX(NGN!$D$38:$H$59,MATCH(V25,NGN!$B$38:$B$59,0),MATCH($V$4,NGN!$D$7:$H$7,0)))</f>
        <v>4.4285569343873729E-4</v>
      </c>
      <c r="Y25" s="193">
        <f>IF($V$17=Data!$A$6,INDEX(SGN!$D$11:$H$32,MATCH(V25,SGN!$B$11:$B$32,0),MATCH($V$4,SGN!$D$7:$H$7,0)),INDEX(SGN!$D$38:$H$59,MATCH(V25,SGN!$B$38:$B$59,0),MATCH($V$4,SGN!$D$7:$H$7,0)))</f>
        <v>1.7300440446319879E-4</v>
      </c>
      <c r="Z25" s="193">
        <f>IF($V$17=Data!$A$6,INDEX(WWU!$D$11:$H$32,MATCH(V25,WWU!$B$11:$B$32,0),MATCH($V$4,WWU!$D$7:$H$7,0)),INDEX(WWU!$D$38:$H$59,MATCH(V25,WWU!$B$38:$B$59,0),MATCH($V$4,WWU!$D$7:$H$7,0)))</f>
        <v>3.8460731795514753E-4</v>
      </c>
      <c r="AA25" s="194"/>
      <c r="AD25" s="192" t="str">
        <f>ED!$B18</f>
        <v>Consumer Vulnerability ODI</v>
      </c>
      <c r="AE25" s="193">
        <f>IF($AD$17=Data!$A$6,INDEX(ENWL!$D$11:$H$34,MATCH($AD25,ENWL!$B$11:$B$34,0),MATCH($V$4,ENWL!$D$6:$H$6,0)),INDEX(ENWL!$D$40:$H$63,MATCH($AD25,ENWL!$B$40:$B$63,0),MATCH($V$4,ENWL!$D$6:$H$6,0)))</f>
        <v>0</v>
      </c>
      <c r="AF25" s="193">
        <f>IF($AD$17=Data!$A$6,INDEX(NGED!$D$11:$H$32,MATCH($AD25,NGED!$B$11:$B$32,0),MATCH($V$4,NGED!$D$7:$H$7,0)),INDEX(NGED!$D$38:$H$59,MATCH($AD25,NGED!$B$38:$B$59,0),MATCH($V$4,NGED!$D$7:$H$7,0)))</f>
        <v>0</v>
      </c>
      <c r="AG25" s="193">
        <f>IF($AD$17=Data!$A$6,INDEX(NPg!$D$11:$H$32,MATCH($AD25,NPg!$B$11:$B$32,0),MATCH($V$4,NPg!$D$7:$H$7,0)),INDEX(NPg!$D$38:$H$59,MATCH($AD25,NPg!$B$38:$B$59,0),MATCH($V$4,NPg!$D$7:$H$7,0)))</f>
        <v>0</v>
      </c>
      <c r="AH25" s="193">
        <f>IF($AD$17=Data!$A$6,INDEX(SPEN!$D$11:$H$32,MATCH($AD25,SPEN!$B$11:$B$32,0),MATCH($V$4,SPEN!$D$7:$H$7,0)),INDEX(SPEN!$D$38:$H$59,MATCH($AD25,SPEN!$B$38:$B$59,0),MATCH($V$4,SPEN!$D$7:$H$7,0)))</f>
        <v>0</v>
      </c>
      <c r="AI25" s="193">
        <f>IF($AD$17=Data!$A$6,INDEX(SSE!$D$11:$H$32,MATCH($AD25,SSE!$B$11:$B$32,0),MATCH($V$4,SSE!$D$7:$H$7,0)),INDEX(SSE!$D$38:$H$59,MATCH($AD25,SSE!$B$38:$B$59,0),MATCH($V$4,SSE!$D$7:$H$7,0)))</f>
        <v>0</v>
      </c>
      <c r="AJ25" s="193">
        <f>IF($AD$17=Data!$A$6,INDEX(UKPN!$D$11:$H$33,MATCH($AD25,UKPN!$B$11:$B$33,0),MATCH($V$4,UKPN!$D$7:$H$7,0)),INDEX(UKPN!$D$40:$H$62,MATCH($AD25,UKPN!$B$40:$B$62,0),MATCH($V$4,UKPN!$D$7:$H$7,0)))</f>
        <v>0</v>
      </c>
    </row>
    <row r="26" spans="2:36">
      <c r="B26" s="192" t="str">
        <f>Cadent!$B19</f>
        <v>Collaborative streetworks ODI [Cadent Lon &amp; EoE, SGN So only]</v>
      </c>
      <c r="C26" s="210">
        <f>IF($B$4=Data!$A$10,(IF($B$5=Data!$A$6,Cadent!$J19,Cadent!$J46)),(IF($B$5=Data!$A$6,Cadent!$K19,Cadent!$K46)))</f>
        <v>2.9641053311131599E-4</v>
      </c>
      <c r="D26" s="210">
        <f>IF($B$4=Data!$A$10,(IF($B$5=Data!$A$6,NGN!$J19,NGN!$J46)),(IF($B$5=Data!$A$6,NGN!$K19,NGN!$K46)))</f>
        <v>0</v>
      </c>
      <c r="E26" s="210">
        <f>IF($B$4=Data!$A$10,(IF($B$5=Data!$A$6,SGN!$J19,SGN!$J46)),(IF($B$5=Data!$A$6,SGN!$K19,SGN!$K46)))</f>
        <v>3.2493894511562399E-4</v>
      </c>
      <c r="F26" s="210">
        <f>IF($B$4=Data!$A$10,(IF($B$5=Data!$A$6,WWU!$J19,WWU!$J46)),(IF($B$5=Data!$A$6,WWU!$K19,WWU!$K46)))</f>
        <v>0</v>
      </c>
      <c r="G26" s="194"/>
      <c r="J26" s="209" t="s">
        <v>115</v>
      </c>
      <c r="K26" s="210">
        <f>IF($B$4=Data!$A$10,(IF($B$5=Data!$A$6,ENWL!$J19,ENWL!$J48)),(IF($B$5=Data!$A$6,ENWL!$K19,ENWL!$K48)))</f>
        <v>1.5654213764450639E-3</v>
      </c>
      <c r="L26" s="210">
        <f>IF($B$4=Data!$A$10,(IF($B$5=Data!$A$6,NGED!$J19,NGED!$J46)),(IF($B$5=Data!$A$6,NGED!$K19,NGED!$K46)))</f>
        <v>6.9993603891611324E-4</v>
      </c>
      <c r="M26" s="210">
        <f>IF($B$4=Data!$A$10,(IF($B$5=Data!$A$6,NPg!$J19,NPg!$J46)),(IF($B$5=Data!$A$6,NPg!$K19,NPg!$K46)))</f>
        <v>9.5186259870901497E-5</v>
      </c>
      <c r="N26" s="210">
        <f>IF($B$4=Data!$A$10,(IF($B$5=Data!$A$6,SPEN!$J19,SPEN!$J46)),(IF($B$5=Data!$A$6,SPEN!$K19,SPEN!$K46)))</f>
        <v>6.7125411243456964E-5</v>
      </c>
      <c r="O26" s="210">
        <f>IF($B$4=Data!$A$10,(IF($B$5=Data!$A$6,SSE!$J19,SSE!$J46)),(IF($B$5=Data!$A$6,SSE!$K19,SSE!$K46)))</f>
        <v>1.3081309442069952E-3</v>
      </c>
      <c r="P26" s="210">
        <f>IF($B$4=Data!$A$10,(IF($B$5=Data!$A$6,UKPN!$J19,UKPN!$J48)),(IF($B$5=Data!$A$6,UKPN!$K19,UKPN!$K48)))</f>
        <v>3.2705553941472254E-3</v>
      </c>
      <c r="V26" s="192" t="str">
        <f>Cadent!$B19</f>
        <v>Collaborative streetworks ODI [Cadent Lon &amp; EoE, SGN So only]</v>
      </c>
      <c r="W26" s="193">
        <f>IF($V$17=Data!$A$6,INDEX(Cadent!$D$11:$H$32,MATCH(V26,Cadent!$B$11:$B$32,0),MATCH($V$4,Cadent!$D$7:$H$7,0)),INDEX(Cadent!$D$38:$H$59,MATCH(V26,Cadent!$B$38:$B$59,0),MATCH($V$4,Cadent!$D$7:$H$7,0)))</f>
        <v>2.5318857963063554E-4</v>
      </c>
      <c r="X26" s="193">
        <f>IF($V$17=Data!$A$6,INDEX(NGN!$D$11:$H$32,MATCH(V26,NGN!$B$11:$B$32,0),MATCH($V$4,NGN!$D$7:$H$7,0)),INDEX(NGN!$D$38:$H$59,MATCH(V26,NGN!$B$38:$B$59,0),MATCH($V$4,NGN!$D$7:$H$7,0)))</f>
        <v>0</v>
      </c>
      <c r="Y26" s="193">
        <f>IF($V$17=Data!$A$6,INDEX(SGN!$D$11:$H$32,MATCH(V26,SGN!$B$11:$B$32,0),MATCH($V$4,SGN!$D$7:$H$7,0)),INDEX(SGN!$D$38:$H$59,MATCH(V26,SGN!$B$38:$B$59,0),MATCH($V$4,SGN!$D$7:$H$7,0)))</f>
        <v>5.4361904863039253E-4</v>
      </c>
      <c r="Z26" s="193">
        <f>IF($V$17=Data!$A$6,INDEX(WWU!$D$11:$H$32,MATCH(V26,WWU!$B$11:$B$32,0),MATCH($V$4,WWU!$D$7:$H$7,0)),INDEX(WWU!$D$38:$H$59,MATCH(V26,WWU!$B$38:$B$59,0),MATCH($V$4,WWU!$D$7:$H$7,0)))</f>
        <v>0</v>
      </c>
      <c r="AA26" s="194"/>
      <c r="AD26" s="192" t="str">
        <f>ED!$B19</f>
        <v>Distribution System Operator ODI</v>
      </c>
      <c r="AE26" s="193">
        <f>IF($AD$17=Data!$A$6,INDEX(ENWL!$D$11:$H$34,MATCH($AD26,ENWL!$B$11:$B$34,0),MATCH($V$4,ENWL!$D$6:$H$6,0)),INDEX(ENWL!$D$40:$H$63,MATCH($AD26,ENWL!$B$40:$B$63,0),MATCH($V$4,ENWL!$D$6:$H$6,0)))</f>
        <v>2.3339770655717736E-4</v>
      </c>
      <c r="AF26" s="193">
        <f>IF($AD$17=Data!$A$6,INDEX(NGED!$D$11:$H$32,MATCH($AD26,NGED!$B$11:$B$32,0),MATCH($V$4,NGED!$D$7:$H$7,0)),INDEX(NGED!$D$38:$H$59,MATCH($AD26,NGED!$B$38:$B$59,0),MATCH($V$4,NGED!$D$7:$H$7,0)))</f>
        <v>1.7427386541817393E-3</v>
      </c>
      <c r="AG26" s="193">
        <f>IF($AD$17=Data!$A$6,INDEX(NPg!$D$11:$H$32,MATCH($AD26,NPg!$B$11:$B$32,0),MATCH($V$4,NPg!$D$7:$H$7,0)),INDEX(NPg!$D$38:$H$59,MATCH($AD26,NPg!$B$38:$B$59,0),MATCH($V$4,NPg!$D$7:$H$7,0)))</f>
        <v>5.1658478622087145E-4</v>
      </c>
      <c r="AH26" s="193">
        <f>IF($AD$17=Data!$A$6,INDEX(SPEN!$D$11:$H$32,MATCH($AD26,SPEN!$B$11:$B$32,0),MATCH($V$4,SPEN!$D$7:$H$7,0)),INDEX(SPEN!$D$38:$H$59,MATCH($AD26,SPEN!$B$38:$B$59,0),MATCH($V$4,SPEN!$D$7:$H$7,0)))</f>
        <v>3.6286011475450885E-4</v>
      </c>
      <c r="AI26" s="193">
        <f>IF($AD$17=Data!$A$6,INDEX(SSE!$D$11:$H$32,MATCH($AD26,SSE!$B$11:$B$32,0),MATCH($V$4,SSE!$D$7:$H$7,0)),INDEX(SSE!$D$38:$H$59,MATCH($AD26,SSE!$B$38:$B$59,0),MATCH($V$4,SSE!$D$7:$H$7,0)))</f>
        <v>1.3720447074479284E-3</v>
      </c>
      <c r="AJ26" s="193">
        <f>IF($AD$17=Data!$A$6,INDEX(UKPN!$D$11:$H$33,MATCH($AD26,UKPN!$B$11:$B$33,0),MATCH($V$4,UKPN!$D$7:$H$7,0)),INDEX(UKPN!$D$40:$H$62,MATCH($AD26,UKPN!$B$40:$B$62,0),MATCH($V$4,UKPN!$D$7:$H$7,0)))</f>
        <v>3.4465891594459381E-3</v>
      </c>
    </row>
    <row r="27" spans="2:36">
      <c r="B27" s="192" t="str">
        <f>Cadent!$B20</f>
        <v>Network innovation input for RORE</v>
      </c>
      <c r="C27" s="210">
        <f>IF($B$4=Data!$A$10,(IF($B$5=Data!$A$6,Cadent!$J20,Cadent!$J47)),(IF($B$5=Data!$A$6,Cadent!$K20,Cadent!$K47)))</f>
        <v>-4.4875474172491065E-4</v>
      </c>
      <c r="D27" s="210">
        <f>IF($B$4=Data!$A$10,(IF($B$5=Data!$A$6,NGN!$J20,NGN!$J47)),(IF($B$5=Data!$A$6,NGN!$K20,NGN!$K47)))</f>
        <v>-2.5328404220149083E-4</v>
      </c>
      <c r="E27" s="210">
        <f>IF($B$4=Data!$A$10,(IF($B$5=Data!$A$6,SGN!$J20,SGN!$J47)),(IF($B$5=Data!$A$6,SGN!$K20,SGN!$K47)))</f>
        <v>-8.5018840830807871E-5</v>
      </c>
      <c r="F27" s="210">
        <f>IF($B$4=Data!$A$10,(IF($B$5=Data!$A$6,WWU!$J20,WWU!$J47)),(IF($B$5=Data!$A$6,WWU!$K20,WWU!$K47)))</f>
        <v>-3.2826669633249597E-4</v>
      </c>
      <c r="G27" s="194"/>
      <c r="J27" s="209" t="s">
        <v>116</v>
      </c>
      <c r="K27" s="210">
        <f>IF($B$4=Data!$A$10,(IF($B$5=Data!$A$6,ENWL!$J20,ENWL!$J49)),(IF($B$5=Data!$A$6,ENWL!$K20,ENWL!$K49)))</f>
        <v>7.278839868337752E-4</v>
      </c>
      <c r="L27" s="210">
        <v>0</v>
      </c>
      <c r="M27" s="210">
        <v>0</v>
      </c>
      <c r="N27" s="210">
        <v>0</v>
      </c>
      <c r="O27" s="210">
        <v>0</v>
      </c>
      <c r="P27" s="210">
        <f>IF($B$4=Data!$A$10,(IF($B$5=Data!$A$6,UKPN!$J20,UKPN!$J49)),(IF($B$5=Data!$A$6,UKPN!$K20,UKPN!$K49)))</f>
        <v>0</v>
      </c>
      <c r="V27" s="192" t="str">
        <f>Cadent!$B20</f>
        <v>Network innovation input for RORE</v>
      </c>
      <c r="W27" s="193">
        <f>IF($V$17=Data!$A$6,INDEX(Cadent!$D$11:$H$32,MATCH(V27,Cadent!$B$11:$B$32,0),MATCH($V$4,Cadent!$D$7:$H$7,0)),INDEX(Cadent!$D$38:$H$59,MATCH(V27,Cadent!$B$38:$B$59,0),MATCH($V$4,Cadent!$D$7:$H$7,0)))</f>
        <v>-3.1561763917191751E-4</v>
      </c>
      <c r="X27" s="193">
        <f>IF($V$17=Data!$A$6,INDEX(NGN!$D$11:$H$32,MATCH(V27,NGN!$B$11:$B$32,0),MATCH($V$4,NGN!$D$7:$H$7,0)),INDEX(NGN!$D$38:$H$59,MATCH(V27,NGN!$B$38:$B$59,0),MATCH($V$4,NGN!$D$7:$H$7,0)))</f>
        <v>-2.8335051225329211E-4</v>
      </c>
      <c r="Y27" s="193">
        <f>IF($V$17=Data!$A$6,INDEX(SGN!$D$11:$H$32,MATCH(V27,SGN!$B$11:$B$32,0),MATCH($V$4,SGN!$D$7:$H$7,0)),INDEX(SGN!$D$38:$H$59,MATCH(V27,SGN!$B$38:$B$59,0),MATCH($V$4,SGN!$D$7:$H$7,0)))</f>
        <v>-1.8469049290577579E-4</v>
      </c>
      <c r="Z27" s="193">
        <f>IF($V$17=Data!$A$6,INDEX(WWU!$D$11:$H$32,MATCH(V27,WWU!$B$11:$B$32,0),MATCH($V$4,WWU!$D$7:$H$7,0)),INDEX(WWU!$D$38:$H$59,MATCH(V27,WWU!$B$38:$B$59,0),MATCH($V$4,WWU!$D$7:$H$7,0)))</f>
        <v>-1.7156274717925509E-4</v>
      </c>
      <c r="AA27" s="194"/>
      <c r="AD27" s="192" t="str">
        <f>ED!$B20</f>
        <v>Dig, Fix and Go ODI (ENWL only)</v>
      </c>
      <c r="AE27" s="193">
        <f>IF($AD$17=Data!$A$6,INDEX(ENWL!$D$11:$H$34,MATCH($AD27,ENWL!$B$11:$B$34,0),MATCH($V$4,ENWL!$D$6:$H$6,0)),INDEX(ENWL!$D$40:$H$63,MATCH($AD27,ENWL!$B$40:$B$63,0),MATCH($V$4,ENWL!$D$6:$H$6,0)))</f>
        <v>4.9270791156735448E-4</v>
      </c>
      <c r="AF27" s="193">
        <v>0</v>
      </c>
      <c r="AG27" s="193">
        <v>0</v>
      </c>
      <c r="AH27" s="193">
        <v>0</v>
      </c>
      <c r="AI27" s="193">
        <v>0</v>
      </c>
      <c r="AJ27" s="193">
        <f>IF($AD$17=Data!$A$6,INDEX(UKPN!$D$11:$H$33,MATCH($AD27,UKPN!$B$11:$B$33,0),MATCH($V$4,UKPN!$D$7:$H$7,0)),INDEX(UKPN!$D$40:$H$62,MATCH($AD27,UKPN!$B$40:$B$62,0),MATCH($V$4,UKPN!$D$7:$H$7,0)))</f>
        <v>0</v>
      </c>
    </row>
    <row r="28" spans="2:36">
      <c r="B28" s="192" t="str">
        <f>Cadent!$B21</f>
        <v>Carry-over Network innovation input for RORE</v>
      </c>
      <c r="C28" s="210">
        <f>IF($B$4=Data!$A$10,(IF($B$5=Data!$A$6,Cadent!$J21,Cadent!$J48)),(IF($B$5=Data!$A$6,Cadent!$K21,Cadent!$K48)))</f>
        <v>-1.8683815222427237E-5</v>
      </c>
      <c r="D28" s="210">
        <f>IF($B$4=Data!$A$10,(IF($B$5=Data!$A$6,NGN!$J21,NGN!$J48)),(IF($B$5=Data!$A$6,NGN!$K21,NGN!$K48)))</f>
        <v>-3.0190897147773362E-5</v>
      </c>
      <c r="E28" s="210">
        <f>IF($B$4=Data!$A$10,(IF($B$5=Data!$A$6,SGN!$J21,SGN!$J48)),(IF($B$5=Data!$A$6,SGN!$K21,SGN!$K48)))</f>
        <v>-5.1372314535984883E-6</v>
      </c>
      <c r="F28" s="210">
        <f>IF($B$4=Data!$A$10,(IF($B$5=Data!$A$6,WWU!$J21,WWU!$J48)),(IF($B$5=Data!$A$6,WWU!$K21,WWU!$K48)))</f>
        <v>-1.0002242936824015E-5</v>
      </c>
      <c r="G28" s="194"/>
      <c r="J28" s="209" t="s">
        <v>117</v>
      </c>
      <c r="K28" s="210">
        <f>IF($B$4=Data!$A$10,(IF($B$5=Data!$A$6,ENWL!$J21,ENWL!$J50)),(IF($B$5=Data!$A$6,ENWL!$K21,ENWL!$K50)))</f>
        <v>0</v>
      </c>
      <c r="L28" s="210">
        <v>0</v>
      </c>
      <c r="M28" s="210">
        <v>0</v>
      </c>
      <c r="N28" s="210">
        <v>0</v>
      </c>
      <c r="O28" s="210">
        <v>0</v>
      </c>
      <c r="P28" s="210">
        <f>IF($B$4=Data!$A$10,(IF($B$5=Data!$A$6,UKPN!$J21,UKPN!$J50)),(IF($B$5=Data!$A$6,UKPN!$K21,UKPN!$K50)))</f>
        <v>5.621729549102611E-4</v>
      </c>
      <c r="V28" s="192" t="str">
        <f>Cadent!$B21</f>
        <v>Carry-over Network innovation input for RORE</v>
      </c>
      <c r="W28" s="193">
        <f>IF($V$17=Data!$A$6,INDEX(Cadent!$D$11:$H$32,MATCH(V28,Cadent!$B$11:$B$32,0),MATCH($V$4,Cadent!$D$7:$H$7,0)),INDEX(Cadent!$D$38:$H$59,MATCH(V28,Cadent!$B$38:$B$59,0),MATCH($V$4,Cadent!$D$7:$H$7,0)))</f>
        <v>0</v>
      </c>
      <c r="X28" s="193">
        <f>IF($V$17=Data!$A$6,INDEX(NGN!$D$11:$H$32,MATCH(V28,NGN!$B$11:$B$32,0),MATCH($V$4,NGN!$D$7:$H$7,0)),INDEX(NGN!$D$38:$H$59,MATCH(V28,NGN!$B$38:$B$59,0),MATCH($V$4,NGN!$D$7:$H$7,0)))</f>
        <v>0</v>
      </c>
      <c r="Y28" s="193">
        <f>IF($V$17=Data!$A$6,INDEX(SGN!$D$11:$H$32,MATCH(V28,SGN!$B$11:$B$32,0),MATCH($V$4,SGN!$D$7:$H$7,0)),INDEX(SGN!$D$38:$H$59,MATCH(V28,SGN!$B$38:$B$59,0),MATCH($V$4,SGN!$D$7:$H$7,0)))</f>
        <v>0</v>
      </c>
      <c r="Z28" s="193">
        <f>IF($V$17=Data!$A$6,INDEX(WWU!$D$11:$H$32,MATCH(V28,WWU!$B$11:$B$32,0),MATCH($V$4,WWU!$D$7:$H$7,0)),INDEX(WWU!$D$38:$H$59,MATCH(V28,WWU!$B$38:$B$59,0),MATCH($V$4,WWU!$D$7:$H$7,0)))</f>
        <v>0</v>
      </c>
      <c r="AA28" s="194"/>
      <c r="AD28" s="192" t="str">
        <f>ED!$B21</f>
        <v>Collaborative Streetworks ODI (EPN, LPN and SPN only)</v>
      </c>
      <c r="AE28" s="193">
        <f>IF($AD$17=Data!$A$6,INDEX(ENWL!$D$11:$H$34,MATCH($AD28,ENWL!$B$11:$B$34,0),MATCH($V$4,ENWL!$D$6:$H$6,0)),INDEX(ENWL!$D$40:$H$63,MATCH($AD28,ENWL!$B$40:$B$63,0),MATCH($V$4,ENWL!$D$6:$H$6,0)))</f>
        <v>0</v>
      </c>
      <c r="AF28" s="193">
        <v>0</v>
      </c>
      <c r="AG28" s="193">
        <v>0</v>
      </c>
      <c r="AH28" s="193">
        <v>0</v>
      </c>
      <c r="AI28" s="193">
        <v>0</v>
      </c>
      <c r="AJ28" s="193">
        <f>IF($AD$17=Data!$A$6,INDEX(UKPN!$D$11:$H$33,MATCH($AD28,UKPN!$B$11:$B$33,0),MATCH($V$4,UKPN!$D$7:$H$7,0)),INDEX(UKPN!$D$40:$H$62,MATCH($AD28,UKPN!$B$40:$B$62,0),MATCH($V$4,UKPN!$D$7:$H$7,0)))</f>
        <v>5.924312474862107E-4</v>
      </c>
    </row>
    <row r="29" spans="2:36">
      <c r="B29" s="192" t="str">
        <f>Cadent!$B22</f>
        <v>Strategic innovation input for RORE</v>
      </c>
      <c r="C29" s="210">
        <f>IF($B$4=Data!$A$10,(IF($B$5=Data!$A$6,Cadent!$J22,Cadent!$J49)),(IF($B$5=Data!$A$6,Cadent!$K22,Cadent!$K49)))</f>
        <v>0</v>
      </c>
      <c r="D29" s="210">
        <f>IF($B$4=Data!$A$10,(IF($B$5=Data!$A$6,NGN!$J22,NGN!$J49)),(IF($B$5=Data!$A$6,NGN!$K22,NGN!$K49)))</f>
        <v>0</v>
      </c>
      <c r="E29" s="210">
        <f>IF($B$4=Data!$A$10,(IF($B$5=Data!$A$6,SGN!$J22,SGN!$J49)),(IF($B$5=Data!$A$6,SGN!$K22,SGN!$K49)))</f>
        <v>0</v>
      </c>
      <c r="F29" s="210">
        <f>IF($B$4=Data!$A$10,(IF($B$5=Data!$A$6,WWU!$J22,WWU!$J49)),(IF($B$5=Data!$A$6,WWU!$K22,WWU!$K49)))</f>
        <v>-1.4385087104892223E-5</v>
      </c>
      <c r="G29" s="194"/>
      <c r="J29" s="209" t="s">
        <v>118</v>
      </c>
      <c r="K29" s="210">
        <f>IF($B$4=Data!$A$10,(IF($B$5=Data!$A$6,ENWL!$J22,ENWL!$J51)),(IF($B$5=Data!$A$6,ENWL!$K22,ENWL!$K51)))</f>
        <v>-2.1000653350693334E-4</v>
      </c>
      <c r="L29" s="210">
        <f>IF($B$4=Data!$A$10,(IF($B$5=Data!$A$6,NGED!$J20,NGED!$J49)),(IF($B$5=Data!$A$6,NGED!$K20,NGED!$K49)))</f>
        <v>-4.1999993496536242E-5</v>
      </c>
      <c r="M29" s="210">
        <f>IF($B$4=Data!$A$10,(IF($B$5=Data!$A$6,NPg!$J20,NPg!$J49)),(IF($B$5=Data!$A$6,NPg!$K20,NPg!$K49)))</f>
        <v>-1.1073835435676565E-4</v>
      </c>
      <c r="N29" s="210">
        <f>IF($B$4=Data!$A$10,(IF($B$5=Data!$A$6,SPEN!$J20,SPEN!$J49)),(IF($B$5=Data!$A$6,SPEN!$K20,SPEN!$K49)))</f>
        <v>-1.2477092958805103E-4</v>
      </c>
      <c r="O29" s="210">
        <f>IF($B$4=Data!$A$10,(IF($B$5=Data!$A$6,SSE!$J20,SSE!$J49)),(IF($B$5=Data!$A$6,SSE!$K20,SSE!$K49)))</f>
        <v>-7.4748078419617422E-5</v>
      </c>
      <c r="P29" s="210">
        <f>IF($B$4=Data!$A$10,(IF($B$5=Data!$A$6,UKPN!$J22,UKPN!$J51)),(IF($B$5=Data!$A$6,UKPN!$K22,UKPN!$K51)))</f>
        <v>-1.1099169889639907E-4</v>
      </c>
      <c r="V29" s="192" t="str">
        <f>Cadent!$B22</f>
        <v>Strategic innovation input for RORE</v>
      </c>
      <c r="W29" s="193">
        <f>IF($V$17=Data!$A$6,INDEX(Cadent!$D$11:$H$32,MATCH(V29,Cadent!$B$11:$B$32,0),MATCH($V$4,Cadent!$D$7:$H$7,0)),INDEX(Cadent!$D$38:$H$59,MATCH(V29,Cadent!$B$38:$B$59,0),MATCH($V$4,Cadent!$D$7:$H$7,0)))</f>
        <v>0</v>
      </c>
      <c r="X29" s="193">
        <f>IF($V$17=Data!$A$6,INDEX(NGN!$D$11:$H$32,MATCH(V29,NGN!$B$11:$B$32,0),MATCH($V$4,NGN!$D$7:$H$7,0)),INDEX(NGN!$D$38:$H$59,MATCH(V29,NGN!$B$38:$B$59,0),MATCH($V$4,NGN!$D$7:$H$7,0)))</f>
        <v>0</v>
      </c>
      <c r="Y29" s="193">
        <f>IF($V$17=Data!$A$6,INDEX(SGN!$D$11:$H$32,MATCH(V29,SGN!$B$11:$B$32,0),MATCH($V$4,SGN!$D$7:$H$7,0)),INDEX(SGN!$D$38:$H$59,MATCH(V29,SGN!$B$38:$B$59,0),MATCH($V$4,SGN!$D$7:$H$7,0)))</f>
        <v>0</v>
      </c>
      <c r="Z29" s="193">
        <f>IF($V$17=Data!$A$6,INDEX(WWU!$D$11:$H$32,MATCH(V29,WWU!$B$11:$B$32,0),MATCH($V$4,WWU!$D$7:$H$7,0)),INDEX(WWU!$D$38:$H$59,MATCH(V29,WWU!$B$38:$B$59,0),MATCH($V$4,WWU!$D$7:$H$7,0)))</f>
        <v>-5.9460251384559419E-5</v>
      </c>
      <c r="AA29" s="194"/>
      <c r="AD29" s="192" t="str">
        <f>ED!$B22</f>
        <v>Network innovation input for RORE</v>
      </c>
      <c r="AE29" s="193">
        <f>IF($AD$17=Data!$A$6,INDEX(ENWL!$D$11:$H$34,MATCH($AD29,ENWL!$B$11:$B$34,0),MATCH($V$4,ENWL!$D$6:$H$6,0)),INDEX(ENWL!$D$40:$H$63,MATCH($AD29,ENWL!$B$40:$B$63,0),MATCH($V$4,ENWL!$D$6:$H$6,0)))</f>
        <v>0</v>
      </c>
      <c r="AF29" s="193">
        <f>IF($AD$17=Data!$A$6,INDEX(NGED!$D$11:$H$32,MATCH($AD29,NGED!$B$11:$B$32,0),MATCH($V$4,NGED!$D$7:$H$7,0)),INDEX(NGED!$D$38:$H$59,MATCH($AD29,NGED!$B$38:$B$59,0),MATCH($V$4,NGED!$D$7:$H$7,0)))</f>
        <v>-4.0503954261241762E-6</v>
      </c>
      <c r="AG29" s="193">
        <f>IF($AD$17=Data!$A$6,INDEX(NPg!$D$11:$H$32,MATCH($AD29,NPg!$B$11:$B$32,0),MATCH($V$4,NPg!$D$7:$H$7,0)),INDEX(NPg!$D$38:$H$59,MATCH($AD29,NPg!$B$38:$B$59,0),MATCH($V$4,NPg!$D$7:$H$7,0)))</f>
        <v>-1.2237986592336333E-4</v>
      </c>
      <c r="AH29" s="193">
        <f>IF($AD$17=Data!$A$6,INDEX(SPEN!$D$11:$H$32,MATCH($AD29,SPEN!$B$11:$B$32,0),MATCH($V$4,SPEN!$D$7:$H$7,0)),INDEX(SPEN!$D$38:$H$59,MATCH($AD29,SPEN!$B$38:$B$59,0),MATCH($V$4,SPEN!$D$7:$H$7,0)))</f>
        <v>-8.9954836092303149E-6</v>
      </c>
      <c r="AI29" s="193">
        <f>IF($AD$17=Data!$A$6,INDEX(SSE!$D$11:$H$32,MATCH($AD29,SSE!$B$11:$B$32,0),MATCH($V$4,SSE!$D$7:$H$7,0)),INDEX(SSE!$D$38:$H$59,MATCH($AD29,SSE!$B$38:$B$59,0),MATCH($V$4,SSE!$D$7:$H$7,0)))</f>
        <v>-7.7822283058410628E-5</v>
      </c>
      <c r="AJ29" s="193">
        <f>IF($AD$17=Data!$A$6,INDEX(UKPN!$D$11:$H$33,MATCH($AD29,UKPN!$B$11:$B$33,0),MATCH($V$4,UKPN!$D$7:$H$7,0)),INDEX(UKPN!$D$40:$H$62,MATCH($AD29,UKPN!$B$40:$B$62,0),MATCH($V$4,UKPN!$D$7:$H$7,0)))</f>
        <v>-1.1696569545631012E-4</v>
      </c>
    </row>
    <row r="30" spans="2:36">
      <c r="B30" s="192" t="str">
        <f>Cadent!$B23</f>
        <v>H100 shareholder contribution</v>
      </c>
      <c r="C30" s="210">
        <f>IF($B$4=Data!$A$10,(IF($B$5=Data!$A$6,Cadent!$J23,Cadent!$J50)),(IF($B$5=Data!$A$6,Cadent!$K23,Cadent!$K50)))</f>
        <v>0</v>
      </c>
      <c r="D30" s="210">
        <f>IF($B$4=Data!$A$10,(IF($B$5=Data!$A$6,NGN!$J23,NGN!$J50)),(IF($B$5=Data!$A$6,NGN!$K23,NGN!$K50)))</f>
        <v>0</v>
      </c>
      <c r="E30" s="210">
        <f>IF($B$4=Data!$A$10,(IF($B$5=Data!$A$6,SGN!$J23,SGN!$J50)),(IF($B$5=Data!$A$6,SGN!$K23,SGN!$K50)))</f>
        <v>-2.0635540687305104E-4</v>
      </c>
      <c r="F30" s="210">
        <f>IF($B$4=Data!$A$10,(IF($B$5=Data!$A$6,WWU!$J23,WWU!$J50)),(IF($B$5=Data!$A$6,WWU!$K23,WWU!$K50)))</f>
        <v>0</v>
      </c>
      <c r="G30" s="194"/>
      <c r="J30" s="209" t="s">
        <v>119</v>
      </c>
      <c r="K30" s="210">
        <f>IF($B$4=Data!$A$10,(IF($B$5=Data!$A$6,ENWL!$J23,ENWL!$J52)),(IF($B$5=Data!$A$6,ENWL!$K23,ENWL!$K52)))</f>
        <v>-1.3321507414330686E-5</v>
      </c>
      <c r="L30" s="210">
        <f>IF($B$4=Data!$A$10,(IF($B$5=Data!$A$6,NGED!$J21,NGED!$J50)),(IF($B$5=Data!$A$6,NGED!$K21,NGED!$K50)))</f>
        <v>-9.5526640351319238E-6</v>
      </c>
      <c r="M30" s="210">
        <f>IF($B$4=Data!$A$10,(IF($B$5=Data!$A$6,NPg!$J21,NPg!$J50)),(IF($B$5=Data!$A$6,NPg!$K21,NPg!$K50)))</f>
        <v>-1.3932120187839778E-5</v>
      </c>
      <c r="N30" s="210">
        <f>IF($B$4=Data!$A$10,(IF($B$5=Data!$A$6,SPEN!$J21,SPEN!$J50)),(IF($B$5=Data!$A$6,SPEN!$K21,SPEN!$K50)))</f>
        <v>0</v>
      </c>
      <c r="O30" s="210">
        <f>IF($B$4=Data!$A$10,(IF($B$5=Data!$A$6,SSE!$J21,SSE!$J50)),(IF($B$5=Data!$A$6,SSE!$K21,SSE!$K50)))</f>
        <v>-5.7959787157203728E-6</v>
      </c>
      <c r="P30" s="210">
        <f>IF($B$4=Data!$A$10,(IF($B$5=Data!$A$6,UKPN!$J23,UKPN!$J52)),(IF($B$5=Data!$A$6,UKPN!$K23,UKPN!$K52)))</f>
        <v>-2.2198339779279816E-5</v>
      </c>
      <c r="V30" s="192" t="str">
        <f>Cadent!$B23</f>
        <v>H100 shareholder contribution</v>
      </c>
      <c r="W30" s="193">
        <f>IF($V$17=Data!$A$6,INDEX(Cadent!$D$11:$H$32,MATCH(V30,Cadent!$B$11:$B$32,0),MATCH($V$4,Cadent!$D$7:$H$7,0)),INDEX(Cadent!$D$38:$H$59,MATCH(V30,Cadent!$B$38:$B$59,0),MATCH($V$4,Cadent!$D$7:$H$7,0)))</f>
        <v>0</v>
      </c>
      <c r="X30" s="193">
        <f>IF($V$17=Data!$A$6,INDEX(NGN!$D$11:$H$32,MATCH(V30,NGN!$B$11:$B$32,0),MATCH($V$4,NGN!$D$7:$H$7,0)),INDEX(NGN!$D$38:$H$59,MATCH(V30,NGN!$B$38:$B$59,0),MATCH($V$4,NGN!$D$7:$H$7,0)))</f>
        <v>0</v>
      </c>
      <c r="Y30" s="193">
        <f>IF($V$17=Data!$A$6,INDEX(SGN!$D$11:$H$32,MATCH(V30,SGN!$B$11:$B$32,0),MATCH($V$4,SGN!$D$7:$H$7,0)),INDEX(SGN!$D$38:$H$59,MATCH(V30,SGN!$B$38:$B$59,0),MATCH($V$4,SGN!$D$7:$H$7,0)))</f>
        <v>0</v>
      </c>
      <c r="Z30" s="193">
        <f>IF($V$17=Data!$A$6,INDEX(WWU!$D$11:$H$32,MATCH(V30,WWU!$B$11:$B$32,0),MATCH($V$4,WWU!$D$7:$H$7,0)),INDEX(WWU!$D$38:$H$59,MATCH(V30,WWU!$B$38:$B$59,0),MATCH($V$4,WWU!$D$7:$H$7,0)))</f>
        <v>0</v>
      </c>
      <c r="AA30" s="194"/>
      <c r="AD30" s="192" t="str">
        <f>ED!$B23</f>
        <v>Carry-over Network innovation input for RORE</v>
      </c>
      <c r="AE30" s="193">
        <f>IF($AD$17=Data!$A$6,INDEX(ENWL!$D$11:$H$34,MATCH($AD30,ENWL!$B$11:$B$34,0),MATCH($V$4,ENWL!$D$6:$H$6,0)),INDEX(ENWL!$D$40:$H$63,MATCH($AD30,ENWL!$B$40:$B$63,0),MATCH($V$4,ENWL!$D$6:$H$6,0)))</f>
        <v>-7.4313966107822192E-5</v>
      </c>
      <c r="AF30" s="193">
        <f>IF($AD$17=Data!$A$6,INDEX(NGED!$D$11:$H$32,MATCH($AD30,NGED!$B$11:$B$32,0),MATCH($V$4,NGED!$D$7:$H$7,0)),INDEX(NGED!$D$38:$H$59,MATCH($AD30,NGED!$B$38:$B$59,0),MATCH($V$4,NGED!$D$7:$H$7,0)))</f>
        <v>-5.1053869159798347E-5</v>
      </c>
      <c r="AG30" s="193">
        <f>IF($AD$17=Data!$A$6,INDEX(NPg!$D$11:$H$32,MATCH($AD30,NPg!$B$11:$B$32,0),MATCH($V$4,NPg!$D$7:$H$7,0)),INDEX(NPg!$D$38:$H$59,MATCH($AD30,NPg!$B$38:$B$59,0),MATCH($V$4,NPg!$D$7:$H$7,0)))</f>
        <v>-7.5610926814436845E-5</v>
      </c>
      <c r="AH30" s="193">
        <f>IF($AD$17=Data!$A$6,INDEX(SPEN!$D$11:$H$32,MATCH($AD30,SPEN!$B$11:$B$32,0),MATCH($V$4,SPEN!$D$7:$H$7,0)),INDEX(SPEN!$D$38:$H$59,MATCH($AD30,SPEN!$B$38:$B$59,0),MATCH($V$4,SPEN!$D$7:$H$7,0)))</f>
        <v>0</v>
      </c>
      <c r="AI30" s="193">
        <f>IF($AD$17=Data!$A$6,INDEX(SSE!$D$11:$H$32,MATCH($AD30,SSE!$B$11:$B$32,0),MATCH($V$4,SSE!$D$7:$H$7,0)),INDEX(SSE!$D$38:$H$59,MATCH($AD30,SSE!$B$38:$B$59,0),MATCH($V$4,SSE!$D$7:$H$7,0)))</f>
        <v>-3.3391416496963924E-5</v>
      </c>
      <c r="AJ30" s="193">
        <f>IF($AD$17=Data!$A$6,INDEX(UKPN!$D$11:$H$33,MATCH($AD30,UKPN!$B$11:$B$33,0),MATCH($V$4,UKPN!$D$7:$H$7,0)),INDEX(UKPN!$D$40:$H$62,MATCH($AD30,UKPN!$B$40:$B$62,0),MATCH($V$4,UKPN!$D$7:$H$7,0)))</f>
        <v>-1.1696569545631012E-4</v>
      </c>
    </row>
    <row r="31" spans="2:36">
      <c r="B31" s="192" t="str">
        <f>Cadent!$B24</f>
        <v>LTS shareholder contribution</v>
      </c>
      <c r="C31" s="210">
        <f>IF($B$4=Data!$A$10,(IF($B$5=Data!$A$6,Cadent!$J24,Cadent!$J51)),(IF($B$5=Data!$A$6,Cadent!$K24,Cadent!$K51)))</f>
        <v>0</v>
      </c>
      <c r="D31" s="210">
        <f>IF($B$4=Data!$A$10,(IF($B$5=Data!$A$6,NGN!$J24,NGN!$J51)),(IF($B$5=Data!$A$6,NGN!$K24,NGN!$K51)))</f>
        <v>0</v>
      </c>
      <c r="E31" s="210">
        <f>IF($B$4=Data!$A$10,(IF($B$5=Data!$A$6,SGN!$J24,SGN!$J51)),(IF($B$5=Data!$A$6,SGN!$K24,SGN!$K51)))</f>
        <v>-4.7314839216401756E-5</v>
      </c>
      <c r="F31" s="210">
        <f>IF($B$4=Data!$A$10,(IF($B$5=Data!$A$6,WWU!$J24,WWU!$J51)),(IF($B$5=Data!$A$6,WWU!$K24,WWU!$K51)))</f>
        <v>0</v>
      </c>
      <c r="G31" s="194"/>
      <c r="J31" s="209" t="s">
        <v>120</v>
      </c>
      <c r="K31" s="210">
        <f>IF($B$4=Data!$A$10,(IF($B$5=Data!$A$6,ENWL!$J24,ENWL!$J53)),(IF($B$5=Data!$A$6,ENWL!$K24,ENWL!$K53)))</f>
        <v>-5.7795149801221998E-6</v>
      </c>
      <c r="L31" s="210">
        <f>IF($B$4=Data!$A$10,(IF($B$5=Data!$A$6,NGED!$J22,NGED!$J51)),(IF($B$5=Data!$A$6,NGED!$K22,NGED!$K51)))</f>
        <v>-4.6551955706518051E-6</v>
      </c>
      <c r="M31" s="210">
        <f>IF($B$4=Data!$A$10,(IF($B$5=Data!$A$6,NPg!$J22,NPg!$J51)),(IF($B$5=Data!$A$6,NPg!$K22,NPg!$K51)))</f>
        <v>-5.1577823806111345E-5</v>
      </c>
      <c r="N31" s="210">
        <f>IF($B$4=Data!$A$10,(IF($B$5=Data!$A$6,SPEN!$J22,SPEN!$J51)),(IF($B$5=Data!$A$6,SPEN!$K22,SPEN!$K51)))</f>
        <v>-3.547614558558117E-6</v>
      </c>
      <c r="O31" s="210">
        <f>IF($B$4=Data!$A$10,(IF($B$5=Data!$A$6,SSE!$J22,SSE!$J51)),(IF($B$5=Data!$A$6,SSE!$K22,SSE!$K51)))</f>
        <v>-9.3675177566154898E-6</v>
      </c>
      <c r="P31" s="210">
        <f>IF($B$4=Data!$A$10,(IF($B$5=Data!$A$6,UKPN!$J24,UKPN!$J53)),(IF($B$5=Data!$A$6,UKPN!$K24,UKPN!$K53)))</f>
        <v>-1.1099169889639907E-4</v>
      </c>
      <c r="V31" s="192" t="str">
        <f>Cadent!$B24</f>
        <v>LTS shareholder contribution</v>
      </c>
      <c r="W31" s="193">
        <f>IF($V$17=Data!$A$6,INDEX(Cadent!$D$11:$H$32,MATCH(V31,Cadent!$B$11:$B$32,0),MATCH($V$4,Cadent!$D$7:$H$7,0)),INDEX(Cadent!$D$38:$H$59,MATCH(V31,Cadent!$B$38:$B$59,0),MATCH($V$4,Cadent!$D$7:$H$7,0)))</f>
        <v>0</v>
      </c>
      <c r="X31" s="193">
        <f>IF($V$17=Data!$A$6,INDEX(NGN!$D$11:$H$32,MATCH(V31,NGN!$B$11:$B$32,0),MATCH($V$4,NGN!$D$7:$H$7,0)),INDEX(NGN!$D$38:$H$59,MATCH(V31,NGN!$B$38:$B$59,0),MATCH($V$4,NGN!$D$7:$H$7,0)))</f>
        <v>0</v>
      </c>
      <c r="Y31" s="193">
        <f>IF($V$17=Data!$A$6,INDEX(SGN!$D$11:$H$32,MATCH(V31,SGN!$B$11:$B$32,0),MATCH($V$4,SGN!$D$7:$H$7,0)),INDEX(SGN!$D$38:$H$59,MATCH(V31,SGN!$B$38:$B$59,0),MATCH($V$4,SGN!$D$7:$H$7,0)))</f>
        <v>0</v>
      </c>
      <c r="Z31" s="193">
        <f>IF($V$17=Data!$A$6,INDEX(WWU!$D$11:$H$32,MATCH(V31,WWU!$B$11:$B$32,0),MATCH($V$4,WWU!$D$7:$H$7,0)),INDEX(WWU!$D$38:$H$59,MATCH(V31,WWU!$B$38:$B$59,0),MATCH($V$4,WWU!$D$7:$H$7,0)))</f>
        <v>0</v>
      </c>
      <c r="AA31" s="194"/>
      <c r="AD31" s="192" t="str">
        <f>ED!$B24</f>
        <v>Strategic innovation input for RORE</v>
      </c>
      <c r="AE31" s="193">
        <f>IF($AD$17=Data!$A$6,INDEX(ENWL!$D$11:$H$34,MATCH($AD31,ENWL!$B$11:$B$34,0),MATCH($V$4,ENWL!$D$6:$H$6,0)),INDEX(ENWL!$D$40:$H$63,MATCH($AD31,ENWL!$B$40:$B$63,0),MATCH($V$4,ENWL!$D$6:$H$6,0)))</f>
        <v>-3.2240996982850168E-5</v>
      </c>
      <c r="AF31" s="193">
        <f>IF($AD$17=Data!$A$6,INDEX(NGED!$D$11:$H$32,MATCH($AD31,NGED!$B$11:$B$32,0),MATCH($V$4,NGED!$D$7:$H$7,0)),INDEX(NGED!$D$38:$H$59,MATCH($AD31,NGED!$B$38:$B$59,0),MATCH($V$4,NGED!$D$7:$H$7,0)))</f>
        <v>-2.4879525198757592E-5</v>
      </c>
      <c r="AG31" s="193">
        <f>IF($AD$17=Data!$A$6,INDEX(NPg!$D$11:$H$32,MATCH($AD31,NPg!$B$11:$B$32,0),MATCH($V$4,NPg!$D$7:$H$7,0)),INDEX(NPg!$D$38:$H$59,MATCH($AD31,NPg!$B$38:$B$59,0),MATCH($V$4,NPg!$D$7:$H$7,0)))</f>
        <v>-7.1834517020772431E-5</v>
      </c>
      <c r="AH31" s="193">
        <f>IF($AD$17=Data!$A$6,INDEX(SPEN!$D$11:$H$32,MATCH($AD31,SPEN!$B$11:$B$32,0),MATCH($V$4,SPEN!$D$7:$H$7,0)),INDEX(SPEN!$D$38:$H$59,MATCH($AD31,SPEN!$B$38:$B$59,0),MATCH($V$4,SPEN!$D$7:$H$7,0)))</f>
        <v>-1.9177354774845314E-5</v>
      </c>
      <c r="AI31" s="193">
        <f>IF($AD$17=Data!$A$6,INDEX(SSE!$D$11:$H$32,MATCH($AD31,SSE!$B$11:$B$32,0),MATCH($V$4,SSE!$D$7:$H$7,0)),INDEX(SSE!$D$38:$H$59,MATCH($AD31,SSE!$B$38:$B$59,0),MATCH($V$4,SSE!$D$7:$H$7,0)))</f>
        <v>-5.3967535475149891E-5</v>
      </c>
      <c r="AJ31" s="193">
        <f>IF($AD$17=Data!$A$6,INDEX(UKPN!$D$11:$H$33,MATCH($AD31,UKPN!$B$11:$B$33,0),MATCH($V$4,UKPN!$D$7:$H$7,0)),INDEX(UKPN!$D$40:$H$62,MATCH($AD31,UKPN!$B$40:$B$62,0),MATCH($V$4,UKPN!$D$7:$H$7,0)))</f>
        <v>-1.1696569545631012E-4</v>
      </c>
    </row>
    <row r="32" spans="2:36">
      <c r="B32" s="192" t="str">
        <f>Cadent!$B25</f>
        <v/>
      </c>
      <c r="C32" s="210">
        <f>IF($B$4=Data!$A$10,(IF($B$5=Data!$A$6,Cadent!$J25,Cadent!$J52)),(IF($B$5=Data!$A$6,Cadent!$K25,Cadent!$K52)))</f>
        <v>0</v>
      </c>
      <c r="D32" s="210">
        <f>IF($B$4=Data!$A$10,(IF($B$5=Data!$A$6,NGN!$J25,NGN!$J52)),(IF($B$5=Data!$A$6,NGN!$K25,NGN!$K52)))</f>
        <v>0</v>
      </c>
      <c r="E32" s="210">
        <f>IF($B$4=Data!$A$10,(IF($B$5=Data!$A$6,SGN!$J25,SGN!$J52)),(IF($B$5=Data!$A$6,SGN!$K25,SGN!$K52)))</f>
        <v>0</v>
      </c>
      <c r="F32" s="210">
        <f>IF($B$4=Data!$A$10,(IF($B$5=Data!$A$6,WWU!$J25,WWU!$J52)),(IF($B$5=Data!$A$6,WWU!$K25,WWU!$K52)))</f>
        <v>0</v>
      </c>
      <c r="G32" s="194"/>
      <c r="J32" s="209"/>
      <c r="K32" s="210">
        <v>0</v>
      </c>
      <c r="L32" s="210">
        <v>0</v>
      </c>
      <c r="M32" s="210">
        <v>0</v>
      </c>
      <c r="N32" s="210">
        <v>0</v>
      </c>
      <c r="O32" s="210">
        <v>0</v>
      </c>
      <c r="P32" s="210">
        <v>0</v>
      </c>
      <c r="V32" s="192" t="str">
        <f>Cadent!$B25</f>
        <v/>
      </c>
      <c r="W32" s="193">
        <f>IF($V$17=Data!$A$6,INDEX(Cadent!$D$11:$H$32,MATCH(V32,Cadent!$B$11:$B$32,0),MATCH($V$4,Cadent!$D$7:$H$7,0)),INDEX(Cadent!$D$38:$H$59,MATCH(V32,Cadent!$B$38:$B$59,0),MATCH($V$4,Cadent!$D$7:$H$7,0)))</f>
        <v>0</v>
      </c>
      <c r="X32" s="193">
        <f>IF($V$17=Data!$A$6,INDEX(NGN!$D$11:$H$32,MATCH(V32,NGN!$B$11:$B$32,0),MATCH($V$4,NGN!$D$7:$H$7,0)),INDEX(NGN!$D$38:$H$59,MATCH(V32,NGN!$B$38:$B$59,0),MATCH($V$4,NGN!$D$7:$H$7,0)))</f>
        <v>0</v>
      </c>
      <c r="Y32" s="193">
        <f>IF($V$17=Data!$A$6,INDEX(SGN!$D$11:$H$32,MATCH(V32,SGN!$B$11:$B$32,0),MATCH($V$4,SGN!$D$7:$H$7,0)),INDEX(SGN!$D$38:$H$59,MATCH(V32,SGN!$B$38:$B$59,0),MATCH($V$4,SGN!$D$7:$H$7,0)))</f>
        <v>0</v>
      </c>
      <c r="Z32" s="193">
        <f>IF($V$17=Data!$A$6,INDEX(WWU!$D$11:$H$32,MATCH(V32,WWU!$B$11:$B$32,0),MATCH($V$4,WWU!$D$7:$H$7,0)),INDEX(WWU!$D$38:$H$59,MATCH(V32,WWU!$B$38:$B$59,0),MATCH($V$4,WWU!$D$7:$H$7,0)))</f>
        <v>0</v>
      </c>
      <c r="AA32" s="194"/>
      <c r="AD32" s="192"/>
      <c r="AE32" s="193">
        <v>0</v>
      </c>
      <c r="AF32" s="193">
        <f>IF($AD$17=Data!$A$6,INDEX(NGED!$D$11:$H$32,MATCH($AD32,NGED!$B$11:$B$32,0),MATCH($V$4,NGED!$D$7:$H$7,0)),INDEX(NGED!$D$38:$H$59,MATCH($AD32,NGED!$B$38:$B$59,0),MATCH($V$4,NGED!$D$7:$H$7,0)))</f>
        <v>0</v>
      </c>
      <c r="AG32" s="193">
        <f>IF($AD$17=Data!$A$6,INDEX(NPg!$D$11:$H$32,MATCH($AD32,NPg!$B$11:$B$32,0),MATCH($V$4,NPg!$D$7:$H$7,0)),INDEX(NPg!$D$38:$H$59,MATCH($AD32,NPg!$B$38:$B$59,0),MATCH($V$4,NPg!$D$7:$H$7,0)))</f>
        <v>0</v>
      </c>
      <c r="AH32" s="193">
        <f>IF($AD$17=Data!$A$6,INDEX(SPEN!$D$11:$H$32,MATCH($AD32,SPEN!$B$11:$B$32,0),MATCH($V$4,SPEN!$D$7:$H$7,0)),INDEX(SPEN!$D$38:$H$59,MATCH($AD32,SPEN!$B$38:$B$59,0),MATCH($V$4,SPEN!$D$7:$H$7,0)))</f>
        <v>0</v>
      </c>
      <c r="AI32" s="193">
        <f>IF($AD$17=Data!$A$6,INDEX(SSE!$D$11:$H$32,MATCH($AD32,SSE!$B$11:$B$32,0),MATCH($V$4,SSE!$D$7:$H$7,0)),INDEX(SSE!$D$38:$H$59,MATCH($AD32,SSE!$B$38:$B$59,0),MATCH($V$4,SSE!$D$7:$H$7,0)))</f>
        <v>0</v>
      </c>
      <c r="AJ32" s="193">
        <f>IF($AD$17=Data!$A$6,INDEX(UKPN!$D$11:$H$33,MATCH($AD32,UKPN!$B$11:$B$33,0),MATCH($V$4,UKPN!$D$7:$H$7,0)),INDEX(UKPN!$D$40:$H$62,MATCH($AD32,UKPN!$B$40:$B$62,0),MATCH($V$4,UKPN!$D$7:$H$7,0)))</f>
        <v>0</v>
      </c>
    </row>
    <row r="33" spans="1:36">
      <c r="B33" s="192" t="str">
        <f>Cadent!$B26</f>
        <v/>
      </c>
      <c r="C33" s="210">
        <f>IF($B$4=Data!$A$10,(IF($B$5=Data!$A$6,Cadent!$J26,Cadent!$J53)),(IF($B$5=Data!$A$6,Cadent!$K26,Cadent!$K53)))</f>
        <v>0</v>
      </c>
      <c r="D33" s="210">
        <f>IF($B$4=Data!$A$10,(IF($B$5=Data!$A$6,NGN!$J26,NGN!$J53)),(IF($B$5=Data!$A$6,NGN!$K26,NGN!$K53)))</f>
        <v>0</v>
      </c>
      <c r="E33" s="210">
        <f>IF($B$4=Data!$A$10,(IF($B$5=Data!$A$6,SGN!$J26,SGN!$J53)),(IF($B$5=Data!$A$6,SGN!$K26,SGN!$K53)))</f>
        <v>0</v>
      </c>
      <c r="F33" s="210">
        <f>IF($B$4=Data!$A$10,(IF($B$5=Data!$A$6,WWU!$J26,WWU!$J53)),(IF($B$5=Data!$A$6,WWU!$K26,WWU!$K53)))</f>
        <v>0</v>
      </c>
      <c r="G33" s="194"/>
      <c r="J33" s="209"/>
      <c r="K33" s="210">
        <v>0</v>
      </c>
      <c r="L33" s="210">
        <v>0</v>
      </c>
      <c r="M33" s="210">
        <v>0</v>
      </c>
      <c r="N33" s="210">
        <v>0</v>
      </c>
      <c r="O33" s="210">
        <v>0</v>
      </c>
      <c r="P33" s="210">
        <v>0</v>
      </c>
      <c r="V33" s="192" t="str">
        <f>Cadent!$B26</f>
        <v/>
      </c>
      <c r="W33" s="193">
        <f>IF($V$17=Data!$A$6,INDEX(Cadent!$D$11:$H$32,MATCH(V33,Cadent!$B$11:$B$32,0),MATCH($V$4,Cadent!$D$7:$H$7,0)),INDEX(Cadent!$D$38:$H$59,MATCH(V33,Cadent!$B$38:$B$59,0),MATCH($V$4,Cadent!$D$7:$H$7,0)))</f>
        <v>0</v>
      </c>
      <c r="X33" s="193">
        <f>IF($V$17=Data!$A$6,INDEX(NGN!$D$11:$H$32,MATCH(V33,NGN!$B$11:$B$32,0),MATCH($V$4,NGN!$D$7:$H$7,0)),INDEX(NGN!$D$38:$H$59,MATCH(V33,NGN!$B$38:$B$59,0),MATCH($V$4,NGN!$D$7:$H$7,0)))</f>
        <v>0</v>
      </c>
      <c r="Y33" s="193">
        <f>IF($V$17=Data!$A$6,INDEX(SGN!$D$11:$H$32,MATCH(V33,SGN!$B$11:$B$32,0),MATCH($V$4,SGN!$D$7:$H$7,0)),INDEX(SGN!$D$38:$H$59,MATCH(V33,SGN!$B$38:$B$59,0),MATCH($V$4,SGN!$D$7:$H$7,0)))</f>
        <v>0</v>
      </c>
      <c r="Z33" s="193">
        <f>IF($V$17=Data!$A$6,INDEX(WWU!$D$11:$H$32,MATCH(V33,WWU!$B$11:$B$32,0),MATCH($V$4,WWU!$D$7:$H$7,0)),INDEX(WWU!$D$38:$H$59,MATCH(V33,WWU!$B$38:$B$59,0),MATCH($V$4,WWU!$D$7:$H$7,0)))</f>
        <v>0</v>
      </c>
      <c r="AA33" s="194"/>
      <c r="AD33" s="192"/>
      <c r="AE33" s="193">
        <v>0</v>
      </c>
      <c r="AF33" s="193">
        <f>IF($AD$17=Data!$A$6,INDEX(NGED!$D$11:$H$32,MATCH($AD33,NGED!$B$11:$B$32,0),MATCH($V$4,NGED!$D$7:$H$7,0)),INDEX(NGED!$D$38:$H$59,MATCH($AD33,NGED!$B$38:$B$59,0),MATCH($V$4,NGED!$D$7:$H$7,0)))</f>
        <v>0</v>
      </c>
      <c r="AG33" s="193">
        <f>IF($AD$17=Data!$A$6,INDEX(NPg!$D$11:$H$32,MATCH($AD33,NPg!$B$11:$B$32,0),MATCH($V$4,NPg!$D$7:$H$7,0)),INDEX(NPg!$D$38:$H$59,MATCH($AD33,NPg!$B$38:$B$59,0),MATCH($V$4,NPg!$D$7:$H$7,0)))</f>
        <v>0</v>
      </c>
      <c r="AH33" s="193">
        <f>IF($AD$17=Data!$A$6,INDEX(SPEN!$D$11:$H$32,MATCH($AD33,SPEN!$B$11:$B$32,0),MATCH($V$4,SPEN!$D$7:$H$7,0)),INDEX(SPEN!$D$38:$H$59,MATCH($AD33,SPEN!$B$38:$B$59,0),MATCH($V$4,SPEN!$D$7:$H$7,0)))</f>
        <v>0</v>
      </c>
      <c r="AI33" s="193">
        <f>IF($AD$17=Data!$A$6,INDEX(SSE!$D$11:$H$32,MATCH($AD33,SSE!$B$11:$B$32,0),MATCH($V$4,SSE!$D$7:$H$7,0)),INDEX(SSE!$D$38:$H$59,MATCH($AD33,SSE!$B$38:$B$59,0),MATCH($V$4,SSE!$D$7:$H$7,0)))</f>
        <v>0</v>
      </c>
      <c r="AJ33" s="193">
        <f>IF($AD$17=Data!$A$6,INDEX(UKPN!$D$11:$H$33,MATCH($AD33,UKPN!$B$11:$B$33,0),MATCH($V$4,UKPN!$D$7:$H$7,0)),INDEX(UKPN!$D$40:$H$62,MATCH($AD33,UKPN!$B$40:$B$62,0),MATCH($V$4,UKPN!$D$7:$H$7,0)))</f>
        <v>0</v>
      </c>
    </row>
    <row r="34" spans="1:36">
      <c r="B34" s="192" t="str">
        <f>Cadent!$B27</f>
        <v/>
      </c>
      <c r="C34" s="210">
        <f>IF($B$4=Data!$A$10,(IF($B$5=Data!$A$6,Cadent!$J27,Cadent!$J54)),(IF($B$5=Data!$A$6,Cadent!$K27,Cadent!$K54)))</f>
        <v>2.9641053311131599E-4</v>
      </c>
      <c r="D34" s="210">
        <f>IF($B$4=Data!$A$10,(IF($B$5=Data!$A$6,NGN!$J27,NGN!$J54)),(IF($B$5=Data!$A$6,NGN!$K27,NGN!$K54)))</f>
        <v>0</v>
      </c>
      <c r="E34" s="210">
        <f>IF($B$4=Data!$A$10,(IF($B$5=Data!$A$6,SGN!$J27,SGN!$J54)),(IF($B$5=Data!$A$6,SGN!$K27,SGN!$K54)))</f>
        <v>0</v>
      </c>
      <c r="F34" s="210">
        <f>IF($B$4=Data!$A$10,(IF($B$5=Data!$A$6,WWU!$J27,WWU!$J54)),(IF($B$5=Data!$A$6,WWU!$K27,WWU!$K54)))</f>
        <v>0</v>
      </c>
      <c r="G34" s="194"/>
      <c r="J34" s="209"/>
      <c r="K34" s="210">
        <v>0</v>
      </c>
      <c r="L34" s="210">
        <v>0</v>
      </c>
      <c r="M34" s="210">
        <v>0</v>
      </c>
      <c r="N34" s="210">
        <v>0</v>
      </c>
      <c r="O34" s="210">
        <v>0</v>
      </c>
      <c r="P34" s="210">
        <v>0</v>
      </c>
      <c r="V34" s="192" t="str">
        <f>Cadent!$B27</f>
        <v/>
      </c>
      <c r="W34" s="193">
        <f>IF($V$17=Data!$A$6,INDEX(Cadent!$D$11:$H$32,MATCH(V34,Cadent!$B$11:$B$32,0),MATCH($V$4,Cadent!$D$7:$H$7,0)),INDEX(Cadent!$D$38:$H$59,MATCH(V34,Cadent!$B$38:$B$59,0),MATCH($V$4,Cadent!$D$7:$H$7,0)))</f>
        <v>0</v>
      </c>
      <c r="X34" s="193">
        <f>IF($V$17=Data!$A$6,INDEX(NGN!$D$11:$H$32,MATCH(V34,NGN!$B$11:$B$32,0),MATCH($V$4,NGN!$D$7:$H$7,0)),INDEX(NGN!$D$38:$H$59,MATCH(V34,NGN!$B$38:$B$59,0),MATCH($V$4,NGN!$D$7:$H$7,0)))</f>
        <v>0</v>
      </c>
      <c r="Y34" s="193">
        <f>IF($V$17=Data!$A$6,INDEX(SGN!$D$11:$H$32,MATCH(V34,SGN!$B$11:$B$32,0),MATCH($V$4,SGN!$D$7:$H$7,0)),INDEX(SGN!$D$38:$H$59,MATCH(V34,SGN!$B$38:$B$59,0),MATCH($V$4,SGN!$D$7:$H$7,0)))</f>
        <v>0</v>
      </c>
      <c r="Z34" s="193">
        <f>IF($V$17=Data!$A$6,INDEX(WWU!$D$11:$H$32,MATCH(V34,WWU!$B$11:$B$32,0),MATCH($V$4,WWU!$D$7:$H$7,0)),INDEX(WWU!$D$38:$H$59,MATCH(V34,WWU!$B$38:$B$59,0),MATCH($V$4,WWU!$D$7:$H$7,0)))</f>
        <v>0</v>
      </c>
      <c r="AA34" s="194"/>
      <c r="AD34" s="192"/>
      <c r="AE34" s="193">
        <v>0</v>
      </c>
      <c r="AF34" s="193">
        <f>IF($AD$17=Data!$A$6,INDEX(NGED!$D$11:$H$32,MATCH($AD34,NGED!$B$11:$B$32,0),MATCH($V$4,NGED!$D$7:$H$7,0)),INDEX(NGED!$D$38:$H$59,MATCH($AD34,NGED!$B$38:$B$59,0),MATCH($V$4,NGED!$D$7:$H$7,0)))</f>
        <v>0</v>
      </c>
      <c r="AG34" s="193">
        <f>IF($AD$17=Data!$A$6,INDEX(NPg!$D$11:$H$32,MATCH($AD34,NPg!$B$11:$B$32,0),MATCH($V$4,NPg!$D$7:$H$7,0)),INDEX(NPg!$D$38:$H$59,MATCH($AD34,NPg!$B$38:$B$59,0),MATCH($V$4,NPg!$D$7:$H$7,0)))</f>
        <v>0</v>
      </c>
      <c r="AH34" s="193">
        <f>IF($AD$17=Data!$A$6,INDEX(SPEN!$D$11:$H$32,MATCH($AD34,SPEN!$B$11:$B$32,0),MATCH($V$4,SPEN!$D$7:$H$7,0)),INDEX(SPEN!$D$38:$H$59,MATCH($AD34,SPEN!$B$38:$B$59,0),MATCH($V$4,SPEN!$D$7:$H$7,0)))</f>
        <v>0</v>
      </c>
      <c r="AI34" s="193">
        <f>IF($AD$17=Data!$A$6,INDEX(SSE!$D$11:$H$32,MATCH($AD34,SSE!$B$11:$B$32,0),MATCH($V$4,SSE!$D$7:$H$7,0)),INDEX(SSE!$D$38:$H$59,MATCH($AD34,SSE!$B$38:$B$59,0),MATCH($V$4,SSE!$D$7:$H$7,0)))</f>
        <v>0</v>
      </c>
      <c r="AJ34" s="193">
        <f>IF($AD$17=Data!$A$6,INDEX(UKPN!$D$11:$H$33,MATCH($AD34,UKPN!$B$11:$B$33,0),MATCH($V$4,UKPN!$D$7:$H$7,0)),INDEX(UKPN!$D$40:$H$62,MATCH($AD34,UKPN!$B$40:$B$62,0),MATCH($V$4,UKPN!$D$7:$H$7,0)))</f>
        <v>0</v>
      </c>
    </row>
    <row r="35" spans="1:36">
      <c r="B35" s="192" t="str">
        <f>Cadent!$B28</f>
        <v>Penalties and fines (Other Activities)</v>
      </c>
      <c r="C35" s="210">
        <f>IF($B$4=Data!$A$10,(IF($B$5=Data!$A$6,Cadent!$J28,Cadent!$J55)),(IF($B$5=Data!$A$6,Cadent!$K28,Cadent!$K55)))</f>
        <v>-9.4881020503589995E-4</v>
      </c>
      <c r="D35" s="210">
        <f>IF($B$4=Data!$A$10,(IF($B$5=Data!$A$6,NGN!$J28,NGN!$J55)),(IF($B$5=Data!$A$6,NGN!$K28,NGN!$K55)))</f>
        <v>-4.3208604020995454E-4</v>
      </c>
      <c r="E35" s="210">
        <f>IF($B$4=Data!$A$10,(IF($B$5=Data!$A$6,SGN!$J28,SGN!$J55)),(IF($B$5=Data!$A$6,SGN!$K28,SGN!$K55)))</f>
        <v>-4.2479382132533221E-4</v>
      </c>
      <c r="F35" s="210">
        <f>IF($B$4=Data!$A$10,(IF($B$5=Data!$A$6,WWU!$J28,WWU!$J55)),(IF($B$5=Data!$A$6,WWU!$K28,WWU!$K55)))</f>
        <v>-3.1489250442158219E-4</v>
      </c>
      <c r="G35" s="194"/>
      <c r="J35" s="209"/>
      <c r="K35" s="210">
        <v>0</v>
      </c>
      <c r="L35" s="210">
        <v>0</v>
      </c>
      <c r="M35" s="210">
        <v>0</v>
      </c>
      <c r="N35" s="210">
        <v>0</v>
      </c>
      <c r="O35" s="210">
        <v>0</v>
      </c>
      <c r="P35" s="210">
        <v>0</v>
      </c>
      <c r="V35" s="192" t="str">
        <f>Cadent!$B28</f>
        <v>Penalties and fines (Other Activities)</v>
      </c>
      <c r="W35" s="193">
        <f>IF($V$17=Data!$A$6,INDEX(Cadent!$D$11:$H$32,MATCH(V35,Cadent!$B$11:$B$32,0),MATCH($V$4,Cadent!$D$7:$H$7,0)),INDEX(Cadent!$D$38:$H$59,MATCH(V35,Cadent!$B$38:$B$59,0),MATCH($V$4,Cadent!$D$7:$H$7,0)))</f>
        <v>-1.2475974281642268E-3</v>
      </c>
      <c r="X35" s="193">
        <f>IF($V$17=Data!$A$6,INDEX(NGN!$D$11:$H$32,MATCH(V35,NGN!$B$11:$B$32,0),MATCH($V$4,NGN!$D$7:$H$7,0)),INDEX(NGN!$D$38:$H$59,MATCH(V35,NGN!$B$38:$B$59,0),MATCH($V$4,NGN!$D$7:$H$7,0)))</f>
        <v>-3.1227445686906333E-4</v>
      </c>
      <c r="Y35" s="193">
        <f>IF($V$17=Data!$A$6,INDEX(SGN!$D$11:$H$32,MATCH(V35,SGN!$B$11:$B$32,0),MATCH($V$4,SGN!$D$7:$H$7,0)),INDEX(SGN!$D$38:$H$59,MATCH(V35,SGN!$B$38:$B$59,0),MATCH($V$4,SGN!$D$7:$H$7,0)))</f>
        <v>-9.3960570203481086E-4</v>
      </c>
      <c r="Z35" s="193">
        <f>IF($V$17=Data!$A$6,INDEX(WWU!$D$11:$H$32,MATCH(V35,WWU!$B$11:$B$32,0),MATCH($V$4,WWU!$D$7:$H$7,0)),INDEX(WWU!$D$38:$H$59,MATCH(V35,WWU!$B$38:$B$59,0),MATCH($V$4,WWU!$D$7:$H$7,0)))</f>
        <v>-2.9209084671169908E-4</v>
      </c>
      <c r="AA35" s="194"/>
      <c r="AD35" s="192"/>
      <c r="AE35" s="193">
        <v>0</v>
      </c>
      <c r="AF35" s="193">
        <f>IF($AD$17=Data!$A$6,INDEX(NGED!$D$11:$H$32,MATCH($AD35,NGED!$B$11:$B$32,0),MATCH($V$4,NGED!$D$7:$H$7,0)),INDEX(NGED!$D$38:$H$59,MATCH($AD35,NGED!$B$38:$B$59,0),MATCH($V$4,NGED!$D$7:$H$7,0)))</f>
        <v>0</v>
      </c>
      <c r="AG35" s="193">
        <f>IF($AD$17=Data!$A$6,INDEX(NPg!$D$11:$H$32,MATCH($AD35,NPg!$B$11:$B$32,0),MATCH($V$4,NPg!$D$7:$H$7,0)),INDEX(NPg!$D$38:$H$59,MATCH($AD35,NPg!$B$38:$B$59,0),MATCH($V$4,NPg!$D$7:$H$7,0)))</f>
        <v>0</v>
      </c>
      <c r="AH35" s="193">
        <f>IF($AD$17=Data!$A$6,INDEX(SPEN!$D$11:$H$32,MATCH($AD35,SPEN!$B$11:$B$32,0),MATCH($V$4,SPEN!$D$7:$H$7,0)),INDEX(SPEN!$D$38:$H$59,MATCH($AD35,SPEN!$B$38:$B$59,0),MATCH($V$4,SPEN!$D$7:$H$7,0)))</f>
        <v>0</v>
      </c>
      <c r="AI35" s="193">
        <f>IF($AD$17=Data!$A$6,INDEX(SSE!$D$11:$H$32,MATCH($AD35,SSE!$B$11:$B$32,0),MATCH($V$4,SSE!$D$7:$H$7,0)),INDEX(SSE!$D$38:$H$59,MATCH($AD35,SSE!$B$38:$B$59,0),MATCH($V$4,SSE!$D$7:$H$7,0)))</f>
        <v>0</v>
      </c>
      <c r="AJ35" s="193">
        <f>IF($AD$17=Data!$A$6,INDEX(UKPN!$D$11:$H$33,MATCH($AD35,UKPN!$B$11:$B$33,0),MATCH($V$4,UKPN!$D$7:$H$7,0)),INDEX(UKPN!$D$40:$H$62,MATCH($AD35,UKPN!$B$40:$B$62,0),MATCH($V$4,UKPN!$D$7:$H$7,0)))</f>
        <v>0</v>
      </c>
    </row>
    <row r="36" spans="1:36">
      <c r="B36" s="195" t="str">
        <f>Cadent!$B29</f>
        <v>RoRE - Operational performance</v>
      </c>
      <c r="C36" s="211">
        <f>SUM(C18:C35)</f>
        <v>4.318834272658003E-2</v>
      </c>
      <c r="D36" s="211">
        <f>SUM(D18:D35)</f>
        <v>5.9273576345533312E-2</v>
      </c>
      <c r="E36" s="211">
        <f>SUM(E18:E35)</f>
        <v>4.3380912346356555E-2</v>
      </c>
      <c r="F36" s="211">
        <f>SUM(F18:F35)</f>
        <v>4.1752981521079674E-2</v>
      </c>
      <c r="G36" s="194"/>
      <c r="J36" s="209"/>
      <c r="K36" s="210">
        <v>0</v>
      </c>
      <c r="L36" s="210">
        <v>0</v>
      </c>
      <c r="M36" s="210">
        <v>0</v>
      </c>
      <c r="N36" s="210">
        <v>0</v>
      </c>
      <c r="O36" s="210">
        <v>0</v>
      </c>
      <c r="P36" s="215">
        <v>0</v>
      </c>
      <c r="V36" s="195" t="str">
        <f>Cadent!$B29</f>
        <v>RoRE - Operational performance</v>
      </c>
      <c r="W36" s="196">
        <f>SUM(W18:W35)</f>
        <v>3.7941469087100464E-2</v>
      </c>
      <c r="X36" s="196">
        <f t="shared" ref="X36:Z36" si="16">SUM(X18:X35)</f>
        <v>5.7693549280166123E-2</v>
      </c>
      <c r="Y36" s="196">
        <f t="shared" si="16"/>
        <v>4.4019105268439662E-2</v>
      </c>
      <c r="Z36" s="196">
        <f t="shared" si="16"/>
        <v>3.4925707233700823E-2</v>
      </c>
      <c r="AA36" s="194"/>
      <c r="AD36" s="192"/>
      <c r="AE36" s="193">
        <v>0</v>
      </c>
      <c r="AF36" s="193">
        <f>IF($AD$17=Data!$A$6,INDEX(NGED!$D$11:$H$32,MATCH($AD36,NGED!$B$11:$B$32,0),MATCH($V$4,NGED!$D$7:$H$7,0)),INDEX(NGED!$D$38:$H$59,MATCH($AD36,NGED!$B$38:$B$59,0),MATCH($V$4,NGED!$D$7:$H$7,0)))</f>
        <v>0</v>
      </c>
      <c r="AG36" s="193">
        <f>IF($AD$17=Data!$A$6,INDEX(NPg!$D$11:$H$32,MATCH($AD36,NPg!$B$11:$B$32,0),MATCH($V$4,NPg!$D$7:$H$7,0)),INDEX(NPg!$D$38:$H$59,MATCH($AD36,NPg!$B$38:$B$59,0),MATCH($V$4,NPg!$D$7:$H$7,0)))</f>
        <v>0</v>
      </c>
      <c r="AH36" s="193">
        <f>IF($AD$17=Data!$A$6,INDEX(SPEN!$D$11:$H$32,MATCH($AD36,SPEN!$B$11:$B$32,0),MATCH($V$4,SPEN!$D$7:$H$7,0)),INDEX(SPEN!$D$38:$H$59,MATCH($AD36,SPEN!$B$38:$B$59,0),MATCH($V$4,SPEN!$D$7:$H$7,0)))</f>
        <v>0</v>
      </c>
      <c r="AI36" s="193">
        <f>IF($AD$17=Data!$A$6,INDEX(SSE!$D$11:$H$32,MATCH($AD36,SSE!$B$11:$B$32,0),MATCH($V$4,SSE!$D$7:$H$7,0)),INDEX(SSE!$D$38:$H$59,MATCH($AD36,SSE!$B$38:$B$59,0),MATCH($V$4,SSE!$D$7:$H$7,0)))</f>
        <v>0</v>
      </c>
      <c r="AJ36" s="193">
        <f>IF($AD$17=Data!$A$6,INDEX(UKPN!$D$11:$H$33,MATCH($AD36,UKPN!$B$11:$B$33,0),MATCH($V$4,UKPN!$D$7:$H$7,0)),INDEX(UKPN!$D$40:$H$62,MATCH($AD36,UKPN!$B$40:$B$62,0),MATCH($V$4,UKPN!$D$7:$H$7,0)))</f>
        <v>0</v>
      </c>
    </row>
    <row r="37" spans="1:36">
      <c r="B37" s="192" t="str">
        <f>IF($B$17=Data!$A$6,Cadent!$B30,Cadent!$B57)</f>
        <v>Debt performance - at notional gearing</v>
      </c>
      <c r="C37" s="210">
        <f>IF($B$4=Data!$A$10,(IF($B$5=Data!$A$6,Cadent!$J30,Cadent!$J57)),(IF($B$5=Data!$A$6,Cadent!$K30,Cadent!$K57)))</f>
        <v>3.0055576969816408E-2</v>
      </c>
      <c r="D37" s="210">
        <f>IF($B$4=Data!$A$10,(IF($B$5=Data!$A$6,NGN!$J30,NGN!$J57)),(IF($B$5=Data!$A$6,NGN!$K30,NGN!$K57)))</f>
        <v>4.568035761885246E-2</v>
      </c>
      <c r="E37" s="210">
        <f>IF($B$4=Data!$A$10,(IF($B$5=Data!$A$6,SGN!$J30,SGN!$J57)),(IF($B$5=Data!$A$6,SGN!$K30,SGN!$K57)))</f>
        <v>2.5094637929624637E-2</v>
      </c>
      <c r="F37" s="210">
        <f>IF($B$4=Data!$A$10,(IF($B$5=Data!$A$6,WWU!$J30,WWU!$J57)),(IF($B$5=Data!$A$6,WWU!$K30,WWU!$K57)))</f>
        <v>-3.8615962688810603E-2</v>
      </c>
      <c r="G37" s="194"/>
      <c r="J37" s="216" t="s">
        <v>121</v>
      </c>
      <c r="K37" s="215">
        <f>IF($B$4=Data!$A$10,(IF($B$5=Data!$A$6,ENWL!$J30,ENWL!$J59)),(IF($B$5=Data!$A$6,ENWL!$K30,ENWL!$K59)))</f>
        <v>-8.7624187566749079E-5</v>
      </c>
      <c r="L37" s="215">
        <f>IF($B$4=Data!$A$10,(IF($B$5=Data!$A$6,NGED!$J28,NGED!$J55)),(IF($B$5=Data!$A$6,NGED!$K28,NGED!$K55)))</f>
        <v>-1.5925428067871173E-5</v>
      </c>
      <c r="M37" s="215">
        <f>IF($B$4=Data!$A$10,(IF($B$5=Data!$A$6,NPg!$J28,NPg!$J55)),(IF($B$5=Data!$A$6,NPg!$K28,NPg!$K55)))</f>
        <v>-6.0552971496468137E-4</v>
      </c>
      <c r="N37" s="215">
        <f>IF($B$4=Data!$A$10,(IF($B$5=Data!$A$6,SPEN!$J28,SPEN!$J55)),(IF($B$5=Data!$A$6,SPEN!$K28,SPEN!$K55)))</f>
        <v>-2.1045212347606495E-5</v>
      </c>
      <c r="O37" s="215">
        <f>IF($B$4=Data!$A$10,(IF($B$5=Data!$A$6,SSE!$J28,SSE!$J55)),(IF($B$5=Data!$A$6,SSE!$K28,SSE!$K55)))</f>
        <v>-1.6366413791649498E-4</v>
      </c>
      <c r="P37" s="215">
        <f>IF($B$4=Data!$A$10,(IF($B$5=Data!$A$6,UKPN!$J29,UKPN!$J58)),(IF($B$5=Data!$A$6,UKPN!$K29,UKPN!$K58)))</f>
        <v>-6.864182159747363E-5</v>
      </c>
      <c r="V37" s="192" t="str">
        <f>IF($V$17=Data!$A$6,GD!$B30,GD!$B57)</f>
        <v>Debt performance - at notional gearing</v>
      </c>
      <c r="W37" s="193">
        <f>IF($V$17=Data!$A$6,INDEX(Cadent!$D$11:$H$32,MATCH(V37,Cadent!$B$11:$B$32,0),MATCH($V$4,Cadent!$D$7:$H$7,0)),INDEX(Cadent!$D$38:$H$59,MATCH(V37,Cadent!$B$38:$B$59,0),MATCH($V$4,Cadent!$D$7:$H$7,0)))</f>
        <v>5.0127529805568082E-2</v>
      </c>
      <c r="X37" s="193">
        <f>IF($V$17=Data!$A$6,INDEX(NGN!$D$11:$H$32,MATCH(V37,NGN!$B$11:$B$32,0),MATCH($V$4,NGN!$D$7:$H$7,0)),INDEX(NGN!$D$38:$H$59,MATCH(V37,NGN!$B$38:$B$59,0),MATCH($V$4,NGN!$D$7:$H$7,0)))</f>
        <v>6.0863325729129544E-2</v>
      </c>
      <c r="Y37" s="193">
        <f>IF($V$17=Data!$A$6,INDEX(SGN!$D$11:$H$32,MATCH(V37,SGN!$B$11:$B$32,0),MATCH($V$4,SGN!$D$7:$H$7,0)),INDEX(SGN!$D$38:$H$59,MATCH(V37,SGN!$B$38:$B$59,0),MATCH($V$4,SGN!$D$7:$H$7,0)))</f>
        <v>4.07660946824107E-2</v>
      </c>
      <c r="Z37" s="193">
        <f>IF($V$17=Data!$A$6,INDEX(WWU!$D$11:$H$32,MATCH(V37,WWU!$B$11:$B$32,0),MATCH($V$4,WWU!$D$7:$H$7,0)),INDEX(WWU!$D$38:$H$59,MATCH(V37,WWU!$B$38:$B$59,0),MATCH($V$4,WWU!$D$7:$H$7,0)))</f>
        <v>-8.6972481577290109E-2</v>
      </c>
      <c r="AA37" s="194"/>
      <c r="AD37" s="192" t="str">
        <f>ED!$B30</f>
        <v>Penalties and fines (Other Activities)</v>
      </c>
      <c r="AE37" s="193">
        <f>IF($AD$17=Data!$A$6,INDEX(ENWL!$D$11:$H$34,MATCH($AD37,ENWL!$B$11:$B$34,0),MATCH($V$4,ENWL!$D$6:$H$6,0)),INDEX(ENWL!$D$40:$H$63,MATCH($AD37,ENWL!$B$40:$B$63,0),MATCH($V$4,ENWL!$D$6:$H$6,0)))</f>
        <v>-4.8881111592940661E-4</v>
      </c>
      <c r="AF37" s="193">
        <f>IF($AD$17=Data!$A$6,INDEX(NGED!$D$11:$H$32,MATCH($AD37,NGED!$B$11:$B$32,0),MATCH($V$4,NGED!$D$7:$H$7,0)),INDEX(NGED!$D$38:$H$59,MATCH($AD37,NGED!$B$38:$B$59,0),MATCH($V$4,NGED!$D$7:$H$7,0)))</f>
        <v>-8.5112877193283039E-5</v>
      </c>
      <c r="AG37" s="193">
        <f>IF($AD$17=Data!$A$6,INDEX(NPg!$D$11:$H$32,MATCH($AD37,NPg!$B$11:$B$32,0),MATCH($V$4,NPg!$D$7:$H$7,0)),INDEX(NPg!$D$38:$H$59,MATCH($AD37,NPg!$B$38:$B$59,0),MATCH($V$4,NPg!$D$7:$H$7,0)))</f>
        <v>-1.0939731648808592E-3</v>
      </c>
      <c r="AH37" s="193">
        <f>IF($AD$17=Data!$A$6,INDEX(SPEN!$D$11:$H$32,MATCH($AD37,SPEN!$B$11:$B$32,0),MATCH($V$4,SPEN!$D$7:$H$7,0)),INDEX(SPEN!$D$38:$H$59,MATCH($AD37,SPEN!$B$38:$B$59,0),MATCH($V$4,SPEN!$D$7:$H$7,0)))</f>
        <v>-1.1376419192113125E-4</v>
      </c>
      <c r="AI37" s="193">
        <f>IF($AD$17=Data!$A$6,INDEX(SSE!$D$11:$H$32,MATCH($AD37,SSE!$B$11:$B$32,0),MATCH($V$4,SSE!$D$7:$H$7,0)),INDEX(SSE!$D$38:$H$59,MATCH($AD37,SSE!$B$38:$B$59,0),MATCH($V$4,SSE!$D$7:$H$7,0)))</f>
        <v>-9.4289121179200121E-4</v>
      </c>
      <c r="AJ37" s="193">
        <f>IF($AD$17=Data!$A$6,INDEX(UKPN!$D$11:$H$33,MATCH($AD37,UKPN!$B$11:$B$33,0),MATCH($V$4,UKPN!$D$7:$H$7,0)),INDEX(UKPN!$D$40:$H$62,MATCH($AD37,UKPN!$B$40:$B$62,0),MATCH($V$4,UKPN!$D$7:$H$7,0)))</f>
        <v>-3.6168193118796157E-4</v>
      </c>
    </row>
    <row r="38" spans="1:36">
      <c r="B38" s="192" t="str">
        <f>IF($B$17=Data!$A$6,Cadent!$B31,Cadent!$B58)</f>
        <v>Tax performance - at notional gearing</v>
      </c>
      <c r="C38" s="210">
        <f>IF($B$4=Data!$A$10,(IF($B$5=Data!$A$6,Cadent!$J31,Cadent!$J58)),(IF($B$5=Data!$A$6,Cadent!$K31,Cadent!$K58)))</f>
        <v>2.7087391409807778E-3</v>
      </c>
      <c r="D38" s="210">
        <f>IF($B$4=Data!$A$10,(IF($B$5=Data!$A$6,NGN!$J31,NGN!$J58)),(IF($B$5=Data!$A$6,NGN!$K31,NGN!$K58)))</f>
        <v>2.1561422116063929E-4</v>
      </c>
      <c r="E38" s="210">
        <f>IF($B$4=Data!$A$10,(IF($B$5=Data!$A$6,SGN!$J31,SGN!$J58)),(IF($B$5=Data!$A$6,SGN!$K31,SGN!$K58)))</f>
        <v>1.9396806727858718E-3</v>
      </c>
      <c r="F38" s="210">
        <f>IF($B$4=Data!$A$10,(IF($B$5=Data!$A$6,WWU!$J31,WWU!$J58)),(IF($B$5=Data!$A$6,WWU!$K31,WWU!$K58)))</f>
        <v>1.5587817277747058E-2</v>
      </c>
      <c r="G38" s="194"/>
      <c r="J38" s="217" t="s">
        <v>122</v>
      </c>
      <c r="K38" s="211">
        <f t="shared" ref="K38:P38" si="17">SUM(K18:K37)</f>
        <v>6.6025786717438778E-2</v>
      </c>
      <c r="L38" s="211">
        <f t="shared" si="17"/>
        <v>6.2012662384595248E-2</v>
      </c>
      <c r="M38" s="211">
        <f t="shared" si="17"/>
        <v>5.3602170053100119E-2</v>
      </c>
      <c r="N38" s="211">
        <f t="shared" si="17"/>
        <v>6.0717342440098909E-2</v>
      </c>
      <c r="O38" s="211">
        <f t="shared" si="17"/>
        <v>5.9017584708425601E-2</v>
      </c>
      <c r="P38" s="211">
        <f t="shared" si="17"/>
        <v>7.8743538994928974E-2</v>
      </c>
      <c r="V38" s="192" t="str">
        <f>IF($V$17=Data!$A$6,GD!$B31,GD!$B58)</f>
        <v>Tax performance - at notional gearing</v>
      </c>
      <c r="W38" s="193">
        <f>IF($V$17=Data!$A$6,INDEX(Cadent!$D$11:$H$32,MATCH(V38,Cadent!$B$11:$B$32,0),MATCH($V$4,Cadent!$D$7:$H$7,0)),INDEX(Cadent!$D$38:$H$59,MATCH(V38,Cadent!$B$38:$B$59,0),MATCH($V$4,Cadent!$D$7:$H$7,0)))</f>
        <v>-3.5176517724823993E-3</v>
      </c>
      <c r="X38" s="193">
        <f>IF($V$17=Data!$A$6,INDEX(NGN!$D$11:$H$32,MATCH(V38,NGN!$B$11:$B$32,0),MATCH($V$4,NGN!$D$7:$H$7,0)),INDEX(NGN!$D$38:$H$59,MATCH(V38,NGN!$B$38:$B$59,0),MATCH($V$4,NGN!$D$7:$H$7,0)))</f>
        <v>1.700752406525256E-4</v>
      </c>
      <c r="Y38" s="193">
        <f>IF($V$17=Data!$A$6,INDEX(SGN!$D$11:$H$32,MATCH(V38,SGN!$B$11:$B$32,0),MATCH($V$4,SGN!$D$7:$H$7,0)),INDEX(SGN!$D$38:$H$59,MATCH(V38,SGN!$B$38:$B$59,0),MATCH($V$4,SGN!$D$7:$H$7,0)))</f>
        <v>-6.1984778818931115E-3</v>
      </c>
      <c r="Z38" s="193">
        <f>IF($V$17=Data!$A$6,INDEX(WWU!$D$11:$H$32,MATCH(V38,WWU!$B$11:$B$32,0),MATCH($V$4,WWU!$D$7:$H$7,0)),INDEX(WWU!$D$38:$H$59,MATCH(V38,WWU!$B$38:$B$59,0),MATCH($V$4,WWU!$D$7:$H$7,0)))</f>
        <v>1.3227544640634513E-2</v>
      </c>
      <c r="AA38" s="194"/>
      <c r="AD38" s="195" t="str">
        <f>ENWL!$B31</f>
        <v>RoRE - Operational performance</v>
      </c>
      <c r="AE38" s="196">
        <f>SUM(AE18:AE37)</f>
        <v>5.6017381574368856E-2</v>
      </c>
      <c r="AF38" s="196">
        <f t="shared" ref="AF38:AJ38" si="18">SUM(AF18:AF37)</f>
        <v>5.7760466764458569E-2</v>
      </c>
      <c r="AG38" s="196">
        <f t="shared" si="18"/>
        <v>3.1957505401655296E-2</v>
      </c>
      <c r="AH38" s="196">
        <f t="shared" si="18"/>
        <v>5.6015605209238095E-2</v>
      </c>
      <c r="AI38" s="196">
        <f t="shared" si="18"/>
        <v>6.8188470472565696E-2</v>
      </c>
      <c r="AJ38" s="196">
        <f t="shared" si="18"/>
        <v>8.6784538314654158E-2</v>
      </c>
    </row>
    <row r="39" spans="1:36">
      <c r="B39" s="195" t="str">
        <f>Cadent!$B32</f>
        <v>RoRE - including financing and tax</v>
      </c>
      <c r="C39" s="211">
        <f>SUM(C36:C38)</f>
        <v>7.5952658837377215E-2</v>
      </c>
      <c r="D39" s="211">
        <f t="shared" ref="D39:F39" si="19">SUM(D36:D38)</f>
        <v>0.1051695481855464</v>
      </c>
      <c r="E39" s="211">
        <f t="shared" si="19"/>
        <v>7.041523094876706E-2</v>
      </c>
      <c r="F39" s="211">
        <f t="shared" si="19"/>
        <v>1.872483611001613E-2</v>
      </c>
      <c r="G39" s="194"/>
      <c r="J39" s="218" t="s">
        <v>123</v>
      </c>
      <c r="K39" s="210">
        <f>IF($B$4=Data!$A$10,(IF($B$5=Data!$A$6,ENWL!$J32,ENWL!$J61)),(IF($B$5=Data!$A$6,ENWL!$K32,ENWL!$K61)))</f>
        <v>-8.2347232180581063E-4</v>
      </c>
      <c r="L39" s="210">
        <f>IF($B$4=Data!$A$10,(IF($B$5=Data!$A$6,NGED!$J30,NGED!$J57)),(IF($B$5=Data!$A$6,NGED!$K30,NGED!$K57)))</f>
        <v>1.5956715852359218E-2</v>
      </c>
      <c r="M39" s="210">
        <f>IF($B$4=Data!$A$10,(IF($B$5=Data!$A$6,NPg!$J30,NPg!$J57)),(IF($B$5=Data!$A$6,NPg!$K30,NPg!$K57)))</f>
        <v>3.3974211911436222E-2</v>
      </c>
      <c r="N39" s="210">
        <f>IF($B$4=Data!$A$10,(IF($B$5=Data!$A$6,SPEN!$J30,SPEN!$J57)),(IF($B$5=Data!$A$6,SPEN!$K30,SPEN!$K57)))</f>
        <v>1.8170224625405712E-2</v>
      </c>
      <c r="O39" s="210">
        <f>IF($B$4=Data!$A$10,(IF($B$5=Data!$A$6,SSE!$J30,SSE!$J57)),(IF($B$5=Data!$A$6,SSE!$K30,SSE!$K57)))</f>
        <v>1.8719035520904214E-2</v>
      </c>
      <c r="P39" s="210">
        <f>IF($B$4=Data!$A$10,(IF($B$5=Data!$A$6,UKPN!$J31,UKPN!$J60)),(IF($B$5=Data!$A$6,UKPN!$K31,UKPN!$K60)))</f>
        <v>1.8597378849193397E-2</v>
      </c>
      <c r="V39" s="195" t="str">
        <f>Cadent!$B32</f>
        <v>RoRE - including financing and tax</v>
      </c>
      <c r="W39" s="196">
        <f>SUM(W36:W38)</f>
        <v>8.4551347120186152E-2</v>
      </c>
      <c r="X39" s="196">
        <f t="shared" ref="X39:Z39" si="20">SUM(X36:X38)</f>
        <v>0.1187269502499482</v>
      </c>
      <c r="Y39" s="196">
        <f t="shared" si="20"/>
        <v>7.8586722068957254E-2</v>
      </c>
      <c r="Z39" s="196">
        <f t="shared" si="20"/>
        <v>-3.8819229702954774E-2</v>
      </c>
      <c r="AA39" s="194"/>
      <c r="AD39" s="192" t="str">
        <f>IF($V$17=Data!$A$6,ED!$B32,ED!$B61)</f>
        <v>Debt performance - at notional gearing</v>
      </c>
      <c r="AE39" s="193">
        <f>IF($AD$17=Data!$A$6,INDEX(ENWL!$D$11:$H$34,MATCH($AD39,ENWL!$B$11:$B$34,0),MATCH($V$4,ENWL!$D$6:$H$6,0)),INDEX(ENWL!$D$40:$H$63,MATCH($AD39,ENWL!$B$40:$B$63,0),MATCH($V$4,ENWL!$D$6:$H$6,0)))</f>
        <v>4.7788356717042534E-2</v>
      </c>
      <c r="AF39" s="193">
        <f>IF($AD$17=Data!$A$6,INDEX(NGED!$D$11:$H$32,MATCH($AD39,NGED!$B$11:$B$32,0),MATCH($V$4,NGED!$D$7:$H$7,0)),INDEX(NGED!$D$38:$H$59,MATCH($AD39,NGED!$B$38:$B$59,0),MATCH($V$4,NGED!$D$7:$H$7,0)))</f>
        <v>7.7874146821491061E-2</v>
      </c>
      <c r="AG39" s="193">
        <f>IF($AD$17=Data!$A$6,INDEX(NPg!$D$11:$H$32,MATCH($AD39,NPg!$B$11:$B$32,0),MATCH($V$4,NPg!$D$7:$H$7,0)),INDEX(NPg!$D$38:$H$59,MATCH($AD39,NPg!$B$38:$B$59,0),MATCH($V$4,NPg!$D$7:$H$7,0)))</f>
        <v>0.11523461534814358</v>
      </c>
      <c r="AH39" s="193">
        <f>IF($AD$17=Data!$A$6,INDEX(SPEN!$D$11:$H$32,MATCH($AD39,SPEN!$B$11:$B$32,0),MATCH($V$4,SPEN!$D$7:$H$7,0)),INDEX(SPEN!$D$38:$H$59,MATCH($AD39,SPEN!$B$38:$B$59,0),MATCH($V$4,SPEN!$D$7:$H$7,0)))</f>
        <v>7.6728164028768253E-2</v>
      </c>
      <c r="AI39" s="193">
        <f>IF($AD$17=Data!$A$6,INDEX(SSE!$D$11:$H$32,MATCH($AD39,SSE!$B$11:$B$32,0),MATCH($V$4,SSE!$D$7:$H$7,0)),INDEX(SSE!$D$38:$H$59,MATCH($AD39,SSE!$B$38:$B$59,0),MATCH($V$4,SSE!$D$7:$H$7,0)))</f>
        <v>9.6828855636186345E-2</v>
      </c>
      <c r="AJ39" s="193">
        <f>IF($AD$17=Data!$A$6,INDEX(UKPN!$D$11:$H$33,MATCH($AD39,UKPN!$B$11:$B$33,0),MATCH($V$4,UKPN!$D$7:$H$7,0)),INDEX(UKPN!$D$40:$H$62,MATCH($AD39,UKPN!$B$40:$B$62,0),MATCH($V$4,UKPN!$D$7:$H$7,0)))</f>
        <v>7.4327744873862886E-2</v>
      </c>
    </row>
    <row r="40" spans="1:36">
      <c r="C40" s="197"/>
      <c r="J40" s="219" t="s">
        <v>124</v>
      </c>
      <c r="K40" s="210">
        <f>IF($B$4=Data!$A$10,(IF($B$5=Data!$A$6,ENWL!$J33,ENWL!$J62)),(IF($B$5=Data!$A$6,ENWL!$K33,ENWL!$K62)))</f>
        <v>2.1346807988295684E-3</v>
      </c>
      <c r="L40" s="210">
        <f>IF($B$4=Data!$A$10,(IF($B$5=Data!$A$6,NGED!$J31,NGED!$J58)),(IF($B$5=Data!$A$6,NGED!$K31,NGED!$K58)))</f>
        <v>1.708797482442992E-3</v>
      </c>
      <c r="M40" s="210">
        <f>IF($B$4=Data!$A$10,(IF($B$5=Data!$A$6,NPg!$J31,NPg!$J58)),(IF($B$5=Data!$A$6,NPg!$K31,NPg!$K58)))</f>
        <v>-4.4634837398688527E-3</v>
      </c>
      <c r="N40" s="210">
        <f>IF($B$4=Data!$A$10,(IF($B$5=Data!$A$6,SPEN!$J31,SPEN!$J58)),(IF($B$5=Data!$A$6,SPEN!$K31,SPEN!$K58)))</f>
        <v>1.5023285279750596E-5</v>
      </c>
      <c r="O40" s="210">
        <f>IF($B$4=Data!$A$10,(IF($B$5=Data!$A$6,SSE!$J31,SSE!$J58)),(IF($B$5=Data!$A$6,SSE!$K31,SSE!$K58)))</f>
        <v>6.2448596619635018E-4</v>
      </c>
      <c r="P40" s="210">
        <f>IF($B$4=Data!$A$10,(IF($B$5=Data!$A$6,UKPN!$J32,UKPN!$J61)),(IF($B$5=Data!$A$6,UKPN!$K32,UKPN!$K61)))</f>
        <v>1.7043769050034765E-3</v>
      </c>
      <c r="AD40" s="192" t="str">
        <f>IF($V$17=Data!$A$6,ED!$B33,ED!$B62)</f>
        <v>Tax performance - at notional gearing</v>
      </c>
      <c r="AE40" s="193">
        <f>IF($AD$17=Data!$A$6,INDEX(ENWL!$D$11:$H$34,MATCH($AD40,ENWL!$B$11:$B$34,0),MATCH($V$4,ENWL!$D$6:$H$6,0)),INDEX(ENWL!$D$40:$H$63,MATCH($AD40,ENWL!$B$40:$B$63,0),MATCH($V$4,ENWL!$D$6:$H$6,0)))</f>
        <v>3.9045490301135395E-3</v>
      </c>
      <c r="AF40" s="193">
        <f>IF($AD$17=Data!$A$6,INDEX(NGED!$D$11:$H$32,MATCH($AD40,NGED!$B$11:$B$32,0),MATCH($V$4,NGED!$D$7:$H$7,0)),INDEX(NGED!$D$38:$H$59,MATCH($AD40,NGED!$B$38:$B$59,0),MATCH($V$4,NGED!$D$7:$H$7,0)))</f>
        <v>2.5541757382453404E-3</v>
      </c>
      <c r="AG40" s="193">
        <f>IF($AD$17=Data!$A$6,INDEX(NPg!$D$11:$H$32,MATCH($AD40,NPg!$B$11:$B$32,0),MATCH($V$4,NPg!$D$7:$H$7,0)),INDEX(NPg!$D$38:$H$59,MATCH($AD40,NPg!$B$38:$B$59,0),MATCH($V$4,NPg!$D$7:$H$7,0)))</f>
        <v>-1.4013620437255838E-2</v>
      </c>
      <c r="AH40" s="193">
        <f>IF($AD$17=Data!$A$6,INDEX(SPEN!$D$11:$H$32,MATCH($AD40,SPEN!$B$11:$B$32,0),MATCH($V$4,SPEN!$D$7:$H$7,0)),INDEX(SPEN!$D$38:$H$59,MATCH($AD40,SPEN!$B$38:$B$59,0),MATCH($V$4,SPEN!$D$7:$H$7,0)))</f>
        <v>-4.1489859602127097E-3</v>
      </c>
      <c r="AI40" s="193">
        <f>IF($AD$17=Data!$A$6,INDEX(SSE!$D$11:$H$32,MATCH($AD40,SSE!$B$11:$B$32,0),MATCH($V$4,SSE!$D$7:$H$7,0)),INDEX(SSE!$D$38:$H$59,MATCH($AD40,SSE!$B$38:$B$59,0),MATCH($V$4,SSE!$D$7:$H$7,0)))</f>
        <v>-2.0119970345755063E-3</v>
      </c>
      <c r="AJ40" s="193">
        <f>IF($AD$17=Data!$A$6,INDEX(UKPN!$D$11:$H$33,MATCH($AD40,UKPN!$B$11:$B$33,0),MATCH($V$4,UKPN!$D$7:$H$7,0)),INDEX(UKPN!$D$40:$H$62,MATCH($AD40,UKPN!$B$40:$B$62,0),MATCH($V$4,UKPN!$D$7:$H$7,0)))</f>
        <v>-7.4683005496952119E-3</v>
      </c>
    </row>
    <row r="41" spans="1:36">
      <c r="C41" s="197"/>
      <c r="J41" s="220" t="s">
        <v>125</v>
      </c>
      <c r="K41" s="211">
        <f>SUM(K38:K40)</f>
        <v>6.733699519446254E-2</v>
      </c>
      <c r="L41" s="211">
        <f t="shared" ref="L41:P41" si="21">SUM(L38:L40)</f>
        <v>7.9678175719397448E-2</v>
      </c>
      <c r="M41" s="211">
        <f t="shared" si="21"/>
        <v>8.3112898224667497E-2</v>
      </c>
      <c r="N41" s="211">
        <f t="shared" si="21"/>
        <v>7.8902590350784368E-2</v>
      </c>
      <c r="O41" s="211">
        <f t="shared" si="21"/>
        <v>7.8361106195526165E-2</v>
      </c>
      <c r="P41" s="211">
        <f t="shared" si="21"/>
        <v>9.9045294749125851E-2</v>
      </c>
      <c r="AD41" s="195" t="str">
        <f>ENWL!$B34</f>
        <v>RoRE - including financing and tax</v>
      </c>
      <c r="AE41" s="196">
        <f>SUM(AE38:AE40)</f>
        <v>0.10771028732152493</v>
      </c>
      <c r="AF41" s="196">
        <f t="shared" ref="AF41:AJ41" si="22">SUM(AF38:AF40)</f>
        <v>0.13818878932419498</v>
      </c>
      <c r="AG41" s="196">
        <f t="shared" si="22"/>
        <v>0.13317850031254302</v>
      </c>
      <c r="AH41" s="196">
        <f>SUM(AH38:AH40)</f>
        <v>0.12859478327779364</v>
      </c>
      <c r="AI41" s="196">
        <f t="shared" si="22"/>
        <v>0.16300532907417653</v>
      </c>
      <c r="AJ41" s="196">
        <f t="shared" si="22"/>
        <v>0.15364398263882184</v>
      </c>
    </row>
    <row r="42" spans="1:36">
      <c r="A42" s="177" t="s">
        <v>126</v>
      </c>
      <c r="B42" s="189" t="str">
        <f>$B$4</f>
        <v>RIIO-2 period</v>
      </c>
      <c r="U42" s="177" t="s">
        <v>126</v>
      </c>
      <c r="V42" s="189">
        <f>$V$4</f>
        <v>2024</v>
      </c>
    </row>
    <row r="43" spans="1:36">
      <c r="B43" s="191" t="str">
        <f>$B$5</f>
        <v>RoRE based on Notional Gearing</v>
      </c>
      <c r="C43" s="118" t="s">
        <v>136</v>
      </c>
      <c r="D43" s="118" t="s">
        <v>19</v>
      </c>
      <c r="E43" s="118" t="s">
        <v>20</v>
      </c>
      <c r="V43" s="191" t="str">
        <f>$V$5</f>
        <v>RoRE based on Notional Gearing</v>
      </c>
      <c r="W43" s="118" t="s">
        <v>136</v>
      </c>
      <c r="X43" s="118" t="s">
        <v>19</v>
      </c>
      <c r="Y43" s="118" t="s">
        <v>20</v>
      </c>
    </row>
    <row r="44" spans="1:36" ht="12.6" customHeight="1">
      <c r="B44" s="192" t="str">
        <f>ET!B11</f>
        <v>Allowed Equity Return</v>
      </c>
      <c r="C44" s="193">
        <f>IF($B$4=Data!$A$10,(IF($B$5=Data!$A$6,NGET!$J11,NGET!$J38)),(IF($B$5=Data!$A$6,NGET!$K11,NGET!$K38)))</f>
        <v>4.7811458259739259E-2</v>
      </c>
      <c r="D44" s="193">
        <f>IF($B$4=Data!$A$10,(IF($B$5=Data!$A$6,SPT!$J11,SPT!$J38)),(IF($B$5=Data!$A$6,SPT!$K11,SPT!$K38)))</f>
        <v>4.7986227575906849E-2</v>
      </c>
      <c r="E44" s="193">
        <f>IF($B$4=Data!$A$10,(IF($B$5=Data!$A$6,SHET!$J11,SHET!$J38)),(IF($B$5=Data!$A$6,SHET!$K11,SHET!$K38)))</f>
        <v>4.8423104360990454E-2</v>
      </c>
      <c r="V44" s="192" t="str">
        <f>ET!B11</f>
        <v>Allowed Equity Return</v>
      </c>
      <c r="W44" s="193">
        <f>IF($V$43=Data!$A$6,INDEX(NGET!$D$11:$H$32,MATCH(V44,NGET!$B$11:$B$32,0),MATCH($V$4,NGET!$D$7:$H$7,0)),INDEX(NGET!$D$38:$H$59,MATCH(V44,NGET!$B$38:$B$59,0),MATCH($V$4,NGET!$D$7:$H$7,0)))</f>
        <v>4.9096839111111103E-2</v>
      </c>
      <c r="X44" s="193">
        <f>IF($V$43=Data!$A$6,INDEX(SPT!$D$11:$H$32,MATCH(V44,SPT!$B$11:$B$32,0),MATCH($V$4,SPT!$D$7:$H$7,0)),INDEX(SPT!$D$38:$H$59,MATCH(V44,SPT!$B$38:$B$59,0),MATCH($V$4,SPT!$D$7:$H$7,0)))</f>
        <v>4.909683911111111E-2</v>
      </c>
      <c r="Y44" s="193">
        <f>IF($V$43=Data!$A$6,INDEX(SHET!$D$11:$H$32,MATCH(V44,SHET!$B$11:$B$32,0),MATCH($V$4,SHET!$D$7:$H$7,0)),INDEX(SHET!$D$38:$H$59,MATCH(V44,SHET!$B$38:$B$59,0),MATCH($V$4,SHET!$D$7:$H$7,0)))</f>
        <v>4.909683911111111E-2</v>
      </c>
      <c r="Z44" s="194"/>
      <c r="AB44" s="194"/>
    </row>
    <row r="45" spans="1:36">
      <c r="B45" s="192" t="str">
        <f>ET!B12</f>
        <v>Totex outperformance</v>
      </c>
      <c r="C45" s="193">
        <f>IF($B$4=Data!$A$10,(IF($B$5=Data!$A$6,NGET!$J12,NGET!$J39)),(IF($B$5=Data!$A$6,NGET!$K12,NGET!$K39)))</f>
        <v>1.2340567427235064E-2</v>
      </c>
      <c r="D45" s="193">
        <f>IF($B$4=Data!$A$10,(IF($B$5=Data!$A$6,SPT!$J12,SPT!$J39)),(IF($B$5=Data!$A$6,SPT!$K12,SPT!$K39)))</f>
        <v>0</v>
      </c>
      <c r="E45" s="193">
        <f>IF($B$4=Data!$A$10,(IF($B$5=Data!$A$6,SHET!$J12,SHET!$J39)),(IF($B$5=Data!$A$6,SHET!$K12,SHET!$K39)))</f>
        <v>5.5537211841843242E-3</v>
      </c>
      <c r="V45" s="192" t="str">
        <f>ET!B12</f>
        <v>Totex outperformance</v>
      </c>
      <c r="W45" s="193">
        <f>IF($V$43=Data!$A$6,INDEX(NGET!$D$11:$H$32,MATCH(V45,NGET!$B$11:$B$32,0),MATCH($V$4,NGET!$D$7:$H$7,0)),INDEX(NGET!$D$38:$H$59,MATCH(V45,NGET!$B$38:$B$59,0),MATCH($V$4,NGET!$D$7:$H$7,0)))</f>
        <v>9.7891382334466918E-3</v>
      </c>
      <c r="X45" s="193">
        <f>IF($V$43=Data!$A$6,INDEX(SPT!$D$11:$H$32,MATCH(V45,SPT!$B$11:$B$32,0),MATCH($V$4,SPT!$D$7:$H$7,0)),INDEX(SPT!$D$38:$H$59,MATCH(V45,SPT!$B$38:$B$59,0),MATCH($V$4,SPT!$D$7:$H$7,0)))</f>
        <v>0</v>
      </c>
      <c r="Y45" s="193">
        <f>IF($V$43=Data!$A$6,INDEX(SHET!$D$11:$H$32,MATCH(V45,SHET!$B$11:$B$32,0),MATCH($V$4,SHET!$D$7:$H$7,0)),INDEX(SHET!$D$38:$H$59,MATCH(V45,SHET!$B$38:$B$59,0),MATCH($V$4,SHET!$D$7:$H$7,0)))</f>
        <v>1.7684438229159074E-2</v>
      </c>
      <c r="Z45" s="194"/>
      <c r="AB45" s="194"/>
    </row>
    <row r="46" spans="1:36">
      <c r="B46" s="192" t="str">
        <f>ET!B13</f>
        <v>Business Plan Incentive</v>
      </c>
      <c r="C46" s="193">
        <f>IF($B$4=Data!$A$10,(IF($B$5=Data!$A$6,NGET!$J13,NGET!$J40)),(IF($B$5=Data!$A$6,NGET!$K13,NGET!$K40)))</f>
        <v>-1.9413187751097579E-3</v>
      </c>
      <c r="D46" s="193">
        <f>IF($B$4=Data!$A$10,(IF($B$5=Data!$A$6,SPT!$J13,SPT!$J40)),(IF($B$5=Data!$A$6,SPT!$K13,SPT!$K40)))</f>
        <v>7.9773290077521548E-4</v>
      </c>
      <c r="E46" s="193">
        <f>IF($B$4=Data!$A$10,(IF($B$5=Data!$A$6,SHET!$J13,SHET!$J40)),(IF($B$5=Data!$A$6,SHET!$K13,SHET!$K40)))</f>
        <v>2.1454776531585145E-3</v>
      </c>
      <c r="V46" s="192" t="str">
        <f>ET!B13</f>
        <v>Business Plan Incentive</v>
      </c>
      <c r="W46" s="193">
        <f>IF($V$43=Data!$A$6,INDEX(NGET!$D$11:$H$32,MATCH(V46,NGET!$B$11:$B$32,0),MATCH($V$4,NGET!$D$7:$H$7,0)),INDEX(NGET!$D$38:$H$59,MATCH(V46,NGET!$B$38:$B$59,0),MATCH($V$4,NGET!$D$7:$H$7,0)))</f>
        <v>-2.0240067391933039E-3</v>
      </c>
      <c r="X46" s="193">
        <f>IF($V$43=Data!$A$6,INDEX(SPT!$D$11:$H$32,MATCH(V46,SPT!$B$11:$B$32,0),MATCH($V$4,SPT!$D$7:$H$7,0)),INDEX(SPT!$D$38:$H$59,MATCH(V46,SPT!$B$38:$B$59,0),MATCH($V$4,SPT!$D$7:$H$7,0)))</f>
        <v>8.3878590964457916E-4</v>
      </c>
      <c r="Y46" s="193">
        <f>IF($V$43=Data!$A$6,INDEX(SHET!$D$11:$H$32,MATCH(V46,SHET!$B$11:$B$32,0),MATCH($V$4,SHET!$D$7:$H$7,0)),INDEX(SHET!$D$38:$H$59,MATCH(V46,SHET!$B$38:$B$59,0),MATCH($V$4,SHET!$D$7:$H$7,0)))</f>
        <v>2.2799996980949599E-3</v>
      </c>
      <c r="Z46" s="194"/>
      <c r="AB46" s="194"/>
    </row>
    <row r="47" spans="1:36">
      <c r="B47" s="192" t="str">
        <f>ET!B14</f>
        <v xml:space="preserve">Energy not supplied ODI </v>
      </c>
      <c r="C47" s="193">
        <f>IF($B$4=Data!$A$10,(IF($B$5=Data!$A$6,NGET!$J14,NGET!$J41)),(IF($B$5=Data!$A$6,NGET!$K14,NGET!$K41)))</f>
        <v>1.4118964205014073E-4</v>
      </c>
      <c r="D47" s="193">
        <f>IF($B$4=Data!$A$10,(IF($B$5=Data!$A$6,SPT!$J14,SPT!$J41)),(IF($B$5=Data!$A$6,SPT!$K14,SPT!$K41)))</f>
        <v>9.1660096664663638E-4</v>
      </c>
      <c r="E47" s="193">
        <f>IF($B$4=Data!$A$10,(IF($B$5=Data!$A$6,SHET!$J14,SHET!$J41)),(IF($B$5=Data!$A$6,SHET!$K14,SHET!$K41)))</f>
        <v>3.7547431957895178E-4</v>
      </c>
      <c r="V47" s="192" t="str">
        <f>ET!B14</f>
        <v xml:space="preserve">Energy not supplied ODI </v>
      </c>
      <c r="W47" s="193">
        <f>IF($V$43=Data!$A$6,INDEX(NGET!$D$11:$H$32,MATCH(V47,NGET!$B$11:$B$32,0),MATCH($V$4,NGET!$D$7:$H$7,0)),INDEX(NGET!$D$38:$H$59,MATCH(V47,NGET!$B$38:$B$59,0),MATCH($V$4,NGET!$D$7:$H$7,0)))</f>
        <v>1.5866626013991974E-4</v>
      </c>
      <c r="X47" s="193">
        <f>IF($V$43=Data!$A$6,INDEX(SPT!$D$11:$H$32,MATCH(V47,SPT!$B$11:$B$32,0),MATCH($V$4,SPT!$D$7:$H$7,0)),INDEX(SPT!$D$38:$H$59,MATCH(V47,SPT!$B$38:$B$59,0),MATCH($V$4,SPT!$D$7:$H$7,0)))</f>
        <v>3.30136094775311E-4</v>
      </c>
      <c r="Y47" s="193">
        <f>IF($V$43=Data!$A$6,INDEX(SHET!$D$11:$H$32,MATCH(V47,SHET!$B$11:$B$32,0),MATCH($V$4,SHET!$D$7:$H$7,0)),INDEX(SHET!$D$38:$H$59,MATCH(V47,SHET!$B$38:$B$59,0),MATCH($V$4,SHET!$D$7:$H$7,0)))</f>
        <v>3.8222395150079542E-4</v>
      </c>
      <c r="Z47" s="194"/>
      <c r="AB47" s="194"/>
    </row>
    <row r="48" spans="1:36">
      <c r="B48" s="192" t="str">
        <f>ET!B15</f>
        <v xml:space="preserve">Insulation And Interruption Gas emissions ODI </v>
      </c>
      <c r="C48" s="193">
        <f>IF($B$4=Data!$A$10,(IF($B$5=Data!$A$6,NGET!$J15,NGET!$J42)),(IF($B$5=Data!$A$6,NGET!$K15,NGET!$K42)))</f>
        <v>1.4435907457921373E-4</v>
      </c>
      <c r="D48" s="193">
        <f>IF($B$4=Data!$A$10,(IF($B$5=Data!$A$6,SPT!$J15,SPT!$J42)),(IF($B$5=Data!$A$6,SPT!$K15,SPT!$K42)))</f>
        <v>1.0617459495211301E-3</v>
      </c>
      <c r="E48" s="193">
        <f>IF($B$4=Data!$A$10,(IF($B$5=Data!$A$6,SHET!$J15,SHET!$J42)),(IF($B$5=Data!$A$6,SHET!$K15,SHET!$K42)))</f>
        <v>6.4509353257059389E-5</v>
      </c>
      <c r="V48" s="192" t="str">
        <f>ET!B15</f>
        <v xml:space="preserve">Insulation And Interruption Gas emissions ODI </v>
      </c>
      <c r="W48" s="193">
        <f>IF($V$43=Data!$A$6,INDEX(NGET!$D$11:$H$32,MATCH(V48,NGET!$B$11:$B$32,0),MATCH($V$4,NGET!$D$7:$H$7,0)),INDEX(NGET!$D$38:$H$59,MATCH(V48,NGET!$B$38:$B$59,0),MATCH($V$4,NGET!$D$7:$H$7,0)))</f>
        <v>3.4307013725657081E-5</v>
      </c>
      <c r="X48" s="193">
        <f>IF($V$43=Data!$A$6,INDEX(SPT!$D$11:$H$32,MATCH(V48,SPT!$B$11:$B$32,0),MATCH($V$4,SPT!$D$7:$H$7,0)),INDEX(SPT!$D$38:$H$59,MATCH(V48,SPT!$B$38:$B$59,0),MATCH($V$4,SPT!$D$7:$H$7,0)))</f>
        <v>1.0071521875896193E-3</v>
      </c>
      <c r="Y48" s="193">
        <f>IF($V$43=Data!$A$6,INDEX(SHET!$D$11:$H$32,MATCH(V48,SHET!$B$11:$B$32,0),MATCH($V$4,SHET!$D$7:$H$7,0)),INDEX(SHET!$D$38:$H$59,MATCH(V48,SHET!$B$38:$B$59,0),MATCH($V$4,SHET!$D$7:$H$7,0)))</f>
        <v>1.5006796215363878E-4</v>
      </c>
      <c r="Z48" s="194"/>
      <c r="AB48" s="194"/>
    </row>
    <row r="49" spans="2:28">
      <c r="B49" s="192" t="str">
        <f>ET!B16</f>
        <v xml:space="preserve">Timely Connections ODI </v>
      </c>
      <c r="C49" s="193">
        <f>IF($B$4=Data!$A$10,(IF($B$5=Data!$A$6,NGET!$J16,NGET!$J43)),(IF($B$5=Data!$A$6,NGET!$K16,NGET!$K43)))</f>
        <v>-2.0175658676765636E-5</v>
      </c>
      <c r="D49" s="193">
        <f>IF($B$4=Data!$A$10,(IF($B$5=Data!$A$6,SPT!$J16,SPT!$J43)),(IF($B$5=Data!$A$6,SPT!$K16,SPT!$K43)))</f>
        <v>-3.1424496261377568E-6</v>
      </c>
      <c r="E49" s="193">
        <f>IF($B$4=Data!$A$10,(IF($B$5=Data!$A$6,SHET!$J16,SHET!$J43)),(IF($B$5=Data!$A$6,SHET!$K16,SHET!$K43)))</f>
        <v>0</v>
      </c>
      <c r="M49" s="194"/>
      <c r="V49" s="192" t="str">
        <f>ET!B16</f>
        <v xml:space="preserve">Timely Connections ODI </v>
      </c>
      <c r="W49" s="193">
        <f>IF($V$43=Data!$A$6,INDEX(NGET!$D$11:$H$32,MATCH(V49,NGET!$B$11:$B$32,0),MATCH($V$4,NGET!$D$7:$H$7,0)),INDEX(NGET!$D$38:$H$59,MATCH(V49,NGET!$B$38:$B$59,0),MATCH($V$4,NGET!$D$7:$H$7,0)))</f>
        <v>-2.8007724024585383E-6</v>
      </c>
      <c r="X49" s="193">
        <f>IF($V$43=Data!$A$6,INDEX(SPT!$D$11:$H$32,MATCH(V49,SPT!$B$11:$B$32,0),MATCH($V$4,SPT!$D$7:$H$7,0)),INDEX(SPT!$D$38:$H$59,MATCH(V49,SPT!$B$38:$B$59,0),MATCH($V$4,SPT!$D$7:$H$7,0)))</f>
        <v>-3.9198943788787858E-6</v>
      </c>
      <c r="Y49" s="193">
        <f>IF($V$43=Data!$A$6,INDEX(SHET!$D$11:$H$32,MATCH(V49,SHET!$B$11:$B$32,0),MATCH($V$4,SHET!$D$7:$H$7,0)),INDEX(SHET!$D$38:$H$59,MATCH(V49,SHET!$B$38:$B$59,0),MATCH($V$4,SHET!$D$7:$H$7,0)))</f>
        <v>0</v>
      </c>
      <c r="Z49" s="194"/>
      <c r="AB49" s="194"/>
    </row>
    <row r="50" spans="2:28">
      <c r="B50" s="192" t="str">
        <f>ET!B17</f>
        <v xml:space="preserve">Quality of connections satisfaction survey ODI </v>
      </c>
      <c r="C50" s="193">
        <f>IF($B$4=Data!$A$10,(IF($B$5=Data!$A$6,NGET!$J17,NGET!$J44)),(IF($B$5=Data!$A$6,NGET!$K17,NGET!$K44)))</f>
        <v>-6.6227924186142379E-4</v>
      </c>
      <c r="D50" s="193">
        <f>IF($B$4=Data!$A$10,(IF($B$5=Data!$A$6,SPT!$J17,SPT!$J44)),(IF($B$5=Data!$A$6,SPT!$K17,SPT!$K44)))</f>
        <v>7.3069736736429164E-4</v>
      </c>
      <c r="E50" s="193">
        <f>IF($B$4=Data!$A$10,(IF($B$5=Data!$A$6,SHET!$J17,SHET!$J44)),(IF($B$5=Data!$A$6,SHET!$K17,SHET!$K44)))</f>
        <v>7.6037293429427209E-4</v>
      </c>
      <c r="M50" s="194"/>
      <c r="V50" s="192" t="str">
        <f>ET!B17</f>
        <v xml:space="preserve">Quality of connections satisfaction survey ODI </v>
      </c>
      <c r="W50" s="193">
        <f>IF($V$43=Data!$A$6,INDEX(NGET!$D$11:$H$32,MATCH(V50,NGET!$B$11:$B$32,0),MATCH($V$4,NGET!$D$7:$H$7,0)),INDEX(NGET!$D$38:$H$59,MATCH(V50,NGET!$B$38:$B$59,0),MATCH($V$4,NGET!$D$7:$H$7,0)))</f>
        <v>-4.6505794854718974E-4</v>
      </c>
      <c r="X50" s="193">
        <f>IF($V$43=Data!$A$6,INDEX(SPT!$D$11:$H$32,MATCH(V50,SPT!$B$11:$B$32,0),MATCH($V$4,SPT!$D$7:$H$7,0)),INDEX(SPT!$D$38:$H$59,MATCH(V50,SPT!$B$38:$B$59,0),MATCH($V$4,SPT!$D$7:$H$7,0)))</f>
        <v>6.0788515906304926E-4</v>
      </c>
      <c r="Y50" s="193">
        <f>IF($V$43=Data!$A$6,INDEX(SHET!$D$11:$H$32,MATCH(V50,SHET!$B$11:$B$32,0),MATCH($V$4,SHET!$D$7:$H$7,0)),INDEX(SHET!$D$38:$H$59,MATCH(V50,SHET!$B$38:$B$59,0),MATCH($V$4,SHET!$D$7:$H$7,0)))</f>
        <v>9.5259371572301087E-4</v>
      </c>
      <c r="Z50" s="194"/>
      <c r="AB50" s="194"/>
    </row>
    <row r="51" spans="2:28">
      <c r="B51" s="192" t="str">
        <f>ET!B18</f>
        <v>SO-TO Optimisation ODI</v>
      </c>
      <c r="C51" s="193">
        <f>IF($B$4=Data!$A$10,(IF($B$5=Data!$A$6,NGET!$J18,NGET!$J45)),(IF($B$5=Data!$A$6,NGET!$K18,NGET!$K45)))</f>
        <v>8.2332483925975724E-4</v>
      </c>
      <c r="D51" s="193">
        <f>IF($B$4=Data!$A$10,(IF($B$5=Data!$A$6,SPT!$J18,SPT!$J45)),(IF($B$5=Data!$A$6,SPT!$K18,SPT!$K45)))</f>
        <v>1.4368365344579893E-3</v>
      </c>
      <c r="E51" s="193">
        <f>IF($B$4=Data!$A$10,(IF($B$5=Data!$A$6,SHET!$J18,SHET!$J45)),(IF($B$5=Data!$A$6,SHET!$K18,SHET!$K45)))</f>
        <v>5.0225481486606736E-4</v>
      </c>
      <c r="M51" s="194"/>
      <c r="V51" s="192" t="str">
        <f>ET!B18</f>
        <v>SO-TO Optimisation ODI</v>
      </c>
      <c r="W51" s="193">
        <f>IF($V$43=Data!$A$6,INDEX(NGET!$D$11:$H$32,MATCH(V51,NGET!$B$11:$B$32,0),MATCH($V$4,NGET!$D$7:$H$7,0)),INDEX(NGET!$D$38:$H$59,MATCH(V51,NGET!$B$38:$B$59,0),MATCH($V$4,NGET!$D$7:$H$7,0)))</f>
        <v>9.1167940743714542E-4</v>
      </c>
      <c r="X51" s="193">
        <f>IF($V$43=Data!$A$6,INDEX(SPT!$D$11:$H$32,MATCH(V51,SPT!$B$11:$B$32,0),MATCH($V$4,SPT!$D$7:$H$7,0)),INDEX(SPT!$D$38:$H$59,MATCH(V51,SPT!$B$38:$B$59,0),MATCH($V$4,SPT!$D$7:$H$7,0)))</f>
        <v>5.4666609288291437E-3</v>
      </c>
      <c r="Y51" s="193">
        <f>IF($V$43=Data!$A$6,INDEX(SHET!$D$11:$H$32,MATCH(V51,SHET!$B$11:$B$32,0),MATCH($V$4,SHET!$D$7:$H$7,0)),INDEX(SHET!$D$38:$H$59,MATCH(V51,SHET!$B$38:$B$59,0),MATCH($V$4,SHET!$D$7:$H$7,0)))</f>
        <v>1.8961870545364027E-3</v>
      </c>
      <c r="Z51" s="194"/>
      <c r="AB51" s="194"/>
    </row>
    <row r="52" spans="2:28">
      <c r="B52" s="192" t="str">
        <f>ET!B19</f>
        <v xml:space="preserve">Environmental scorecard ODI </v>
      </c>
      <c r="C52" s="193">
        <f>IF($B$4=Data!$A$10,(IF($B$5=Data!$A$6,NGET!$J19,NGET!$J46)),(IF($B$5=Data!$A$6,NGET!$K19,NGET!$K46)))</f>
        <v>1.3863647228152127E-4</v>
      </c>
      <c r="D52" s="193">
        <f>IF($B$4=Data!$A$10,(IF($B$5=Data!$A$6,SPT!$J19,SPT!$J46)),(IF($B$5=Data!$A$6,SPT!$K19,SPT!$K46)))</f>
        <v>0</v>
      </c>
      <c r="E52" s="193">
        <f>IF($B$4=Data!$A$10,(IF($B$5=Data!$A$6,SHET!$J19,SHET!$J46)),(IF($B$5=Data!$A$6,SHET!$K19,SHET!$K46)))</f>
        <v>0</v>
      </c>
      <c r="M52" s="194"/>
      <c r="V52" s="192" t="str">
        <f>ET!B19</f>
        <v xml:space="preserve">Environmental scorecard ODI </v>
      </c>
      <c r="W52" s="193">
        <f>IF($V$43=Data!$A$6,INDEX(NGET!$D$11:$H$32,MATCH(V52,NGET!$B$11:$B$32,0),MATCH($V$4,NGET!$D$7:$H$7,0)),INDEX(NGET!$D$38:$H$59,MATCH(V52,NGET!$B$38:$B$59,0),MATCH($V$4,NGET!$D$7:$H$7,0)))</f>
        <v>1.5251210183654274E-4</v>
      </c>
      <c r="X52" s="193">
        <f>IF($V$43=Data!$A$6,INDEX(SPT!$D$11:$H$32,MATCH(V52,SPT!$B$11:$B$32,0),MATCH($V$4,SPT!$D$7:$H$7,0)),INDEX(SPT!$D$38:$H$59,MATCH(V52,SPT!$B$38:$B$59,0),MATCH($V$4,SPT!$D$7:$H$7,0)))</f>
        <v>0</v>
      </c>
      <c r="Y52" s="193">
        <f>IF($V$43=Data!$A$6,INDEX(SHET!$D$11:$H$32,MATCH(V52,SHET!$B$11:$B$32,0),MATCH($V$4,SHET!$D$7:$H$7,0)),INDEX(SHET!$D$38:$H$59,MATCH(V52,SHET!$B$38:$B$59,0),MATCH($V$4,SHET!$D$7:$H$7,0)))</f>
        <v>0</v>
      </c>
      <c r="Z52" s="194"/>
      <c r="AB52" s="194"/>
    </row>
    <row r="53" spans="2:28">
      <c r="B53" s="192" t="str">
        <f>ET!B20</f>
        <v>Network innovation input for RORE</v>
      </c>
      <c r="C53" s="193">
        <f>IF($B$4=Data!$A$10,(IF($B$5=Data!$A$6,NGET!$J20,NGET!$J47)),(IF($B$5=Data!$A$6,NGET!$K20,NGET!$K47)))</f>
        <v>-1.6350950513065426E-4</v>
      </c>
      <c r="D53" s="193">
        <f>IF($B$4=Data!$A$10,(IF($B$5=Data!$A$6,SPT!$J20,SPT!$J47)),(IF($B$5=Data!$A$6,SPT!$K20,SPT!$K47)))</f>
        <v>-2.1870378057560326E-4</v>
      </c>
      <c r="E53" s="193">
        <f>IF($B$4=Data!$A$10,(IF($B$5=Data!$A$6,SHET!$J20,SHET!$J47)),(IF($B$5=Data!$A$6,SHET!$K20,SHET!$K47)))</f>
        <v>-7.9011910815304342E-5</v>
      </c>
      <c r="V53" s="192" t="str">
        <f>ET!B20</f>
        <v>Network innovation input for RORE</v>
      </c>
      <c r="W53" s="193">
        <f>IF($V$43=Data!$A$6,INDEX(NGET!$D$11:$H$32,MATCH(V53,NGET!$B$11:$B$32,0),MATCH($V$4,NGET!$D$7:$H$7,0)),INDEX(NGET!$D$38:$H$59,MATCH(V53,NGET!$B$38:$B$59,0),MATCH($V$4,NGET!$D$7:$H$7,0)))</f>
        <v>-1.5097129479358366E-4</v>
      </c>
      <c r="X53" s="193">
        <f>IF($V$43=Data!$A$6,INDEX(SPT!$D$11:$H$32,MATCH(V53,SPT!$B$11:$B$32,0),MATCH($V$4,SPT!$D$7:$H$7,0)),INDEX(SPT!$D$38:$H$59,MATCH(V53,SPT!$B$38:$B$59,0),MATCH($V$4,SPT!$D$7:$H$7,0)))</f>
        <v>-9.2145436553587204E-5</v>
      </c>
      <c r="Y53" s="193">
        <f>IF($V$43=Data!$A$6,INDEX(SHET!$D$11:$H$32,MATCH(V53,SHET!$B$11:$B$32,0),MATCH($V$4,SHET!$D$7:$H$7,0)),INDEX(SHET!$D$38:$H$59,MATCH(V53,SHET!$B$38:$B$59,0),MATCH($V$4,SHET!$D$7:$H$7,0)))</f>
        <v>-8.0741138900334924E-5</v>
      </c>
      <c r="Z53" s="194"/>
      <c r="AB53" s="194"/>
    </row>
    <row r="54" spans="2:28">
      <c r="B54" s="192" t="str">
        <f>ET!B21</f>
        <v>Carry-over Network innovation input for RORE</v>
      </c>
      <c r="C54" s="193">
        <f>IF($B$4=Data!$A$10,(IF($B$5=Data!$A$6,NGET!$J21,NGET!$J48)),(IF($B$5=Data!$A$6,NGET!$K21,NGET!$K48)))</f>
        <v>-2.1674148829530516E-6</v>
      </c>
      <c r="D54" s="193">
        <f>IF($B$4=Data!$A$10,(IF($B$5=Data!$A$6,SPT!$J21,SPT!$J48)),(IF($B$5=Data!$A$6,SPT!$K21,SPT!$K48)))</f>
        <v>-3.1250578189832016E-6</v>
      </c>
      <c r="E54" s="193">
        <f>IF($B$4=Data!$A$10,(IF($B$5=Data!$A$6,SHET!$J21,SHET!$J48)),(IF($B$5=Data!$A$6,SHET!$K21,SHET!$K48)))</f>
        <v>-4.7777525196966571E-6</v>
      </c>
      <c r="V54" s="192" t="str">
        <f>ET!B21</f>
        <v>Carry-over Network innovation input for RORE</v>
      </c>
      <c r="W54" s="193">
        <f>IF($V$43=Data!$A$6,INDEX(NGET!$D$11:$H$32,MATCH(V54,NGET!$B$11:$B$32,0),MATCH($V$4,NGET!$D$7:$H$7,0)),INDEX(NGET!$D$38:$H$59,MATCH(V54,NGET!$B$38:$B$59,0),MATCH($V$4,NGET!$D$7:$H$7,0)))</f>
        <v>0</v>
      </c>
      <c r="X54" s="193">
        <f>IF($V$43=Data!$A$6,INDEX(SPT!$D$11:$H$32,MATCH(V54,SPT!$B$11:$B$32,0),MATCH($V$4,SPT!$D$7:$H$7,0)),INDEX(SPT!$D$38:$H$59,MATCH(V54,SPT!$B$38:$B$59,0),MATCH($V$4,SPT!$D$7:$H$7,0)))</f>
        <v>0</v>
      </c>
      <c r="Y54" s="193">
        <f>IF($V$43=Data!$A$6,INDEX(SHET!$D$11:$H$32,MATCH(V54,SHET!$B$11:$B$32,0),MATCH($V$4,SHET!$D$7:$H$7,0)),INDEX(SHET!$D$38:$H$59,MATCH(V54,SHET!$B$38:$B$59,0),MATCH($V$4,SHET!$D$7:$H$7,0)))</f>
        <v>0</v>
      </c>
      <c r="Z54" s="194"/>
      <c r="AB54" s="194"/>
    </row>
    <row r="55" spans="2:28">
      <c r="B55" s="192" t="str">
        <f>ET!B22</f>
        <v>Strategic innovation input for RORE</v>
      </c>
      <c r="C55" s="193">
        <f>IF($B$4=Data!$A$10,(IF($B$5=Data!$A$6,NGET!$J22,NGET!$J49)),(IF($B$5=Data!$A$6,NGET!$K22,NGET!$K49)))</f>
        <v>-8.3564216006813014E-6</v>
      </c>
      <c r="D55" s="193">
        <f>IF($B$4=Data!$A$10,(IF($B$5=Data!$A$6,SPT!$J22,SPT!$J49)),(IF($B$5=Data!$A$6,SPT!$K22,SPT!$K49)))</f>
        <v>-4.6362082054604404E-5</v>
      </c>
      <c r="E55" s="193">
        <f>IF($B$4=Data!$A$10,(IF($B$5=Data!$A$6,SHET!$J22,SHET!$J49)),(IF($B$5=Data!$A$6,SHET!$K22,SHET!$K49)))</f>
        <v>-1.4173806787471613E-4</v>
      </c>
      <c r="V55" s="192" t="str">
        <f>ET!B22</f>
        <v>Strategic innovation input for RORE</v>
      </c>
      <c r="W55" s="193">
        <f>IF($V$43=Data!$A$6,INDEX(NGET!$D$11:$H$32,MATCH(V55,NGET!$B$11:$B$32,0),MATCH($V$4,NGET!$D$7:$H$7,0)),INDEX(NGET!$D$38:$H$59,MATCH(V55,NGET!$B$38:$B$59,0),MATCH($V$4,NGET!$D$7:$H$7,0)))</f>
        <v>-2.7124798090762602E-5</v>
      </c>
      <c r="X55" s="193">
        <f>IF($V$43=Data!$A$6,INDEX(SPT!$D$11:$H$32,MATCH(V55,SPT!$B$11:$B$32,0),MATCH($V$4,SPT!$D$7:$H$7,0)),INDEX(SPT!$D$38:$H$59,MATCH(V55,SPT!$B$38:$B$59,0),MATCH($V$4,SPT!$D$7:$H$7,0)))</f>
        <v>-8.9877580146162413E-5</v>
      </c>
      <c r="Y55" s="193">
        <f>IF($V$43=Data!$A$6,INDEX(SHET!$D$11:$H$32,MATCH(V55,SHET!$B$11:$B$32,0),MATCH($V$4,SHET!$D$7:$H$7,0)),INDEX(SHET!$D$38:$H$59,MATCH(V55,SHET!$B$38:$B$59,0),MATCH($V$4,SHET!$D$7:$H$7,0)))</f>
        <v>-1.1133423560161083E-4</v>
      </c>
      <c r="Z55" s="194"/>
      <c r="AB55" s="194"/>
    </row>
    <row r="56" spans="2:28">
      <c r="B56" s="192" t="str">
        <f>ET!B23</f>
        <v/>
      </c>
      <c r="C56" s="193">
        <f>IF($B$4=Data!$A$10,(IF($B$5=Data!$A$6,NGET!$J23,NGET!$J50)),(IF($B$5=Data!$A$6,NGET!$K23,NGET!$K50)))</f>
        <v>0</v>
      </c>
      <c r="D56" s="193">
        <f>IF($B$4=Data!$A$10,(IF($B$5=Data!$A$6,SPT!$J23,SPT!$J50)),(IF($B$5=Data!$A$6,SPT!$K23,SPT!$K50)))</f>
        <v>0</v>
      </c>
      <c r="E56" s="193">
        <f>IF($B$4=Data!$A$10,(IF($B$5=Data!$A$6,SHET!$J23,SHET!$J50)),(IF($B$5=Data!$A$6,SHET!$K23,SHET!$K50)))</f>
        <v>0</v>
      </c>
      <c r="V56" s="192" t="str">
        <f>ET!B23</f>
        <v/>
      </c>
      <c r="W56" s="193">
        <f>IF($V$43=Data!$A$6,INDEX(NGET!$D$11:$H$32,MATCH(V56,NGET!$B$11:$B$32,0),MATCH($V$4,NGET!$D$7:$H$7,0)),INDEX(NGET!$D$38:$H$59,MATCH(V56,NGET!$B$38:$B$59,0),MATCH($V$4,NGET!$D$7:$H$7,0)))</f>
        <v>0</v>
      </c>
      <c r="X56" s="193">
        <f>IF($V$43=Data!$A$6,INDEX(SPT!$D$11:$H$32,MATCH(V56,SPT!$B$11:$B$32,0),MATCH($V$4,SPT!$D$7:$H$7,0)),INDEX(SPT!$D$38:$H$59,MATCH(V56,SPT!$B$38:$B$59,0),MATCH($V$4,SPT!$D$7:$H$7,0)))</f>
        <v>0</v>
      </c>
      <c r="Y56" s="193">
        <f>IF($V$43=Data!$A$6,INDEX(SHET!$D$11:$H$32,MATCH(V56,SHET!$B$11:$B$32,0),MATCH($V$4,SHET!$D$7:$H$7,0)),INDEX(SHET!$D$38:$H$59,MATCH(V56,SHET!$B$38:$B$59,0),MATCH($V$4,SHET!$D$7:$H$7,0)))</f>
        <v>0</v>
      </c>
      <c r="Z56" s="194"/>
      <c r="AB56" s="194"/>
    </row>
    <row r="57" spans="2:28">
      <c r="B57" s="192" t="str">
        <f>ET!B24</f>
        <v/>
      </c>
      <c r="C57" s="193">
        <f>IF($B$4=Data!$A$10,(IF($B$5=Data!$A$6,NGET!$J24,NGET!$J51)),(IF($B$5=Data!$A$6,NGET!$K24,NGET!$K51)))</f>
        <v>0</v>
      </c>
      <c r="D57" s="193">
        <f>IF($B$4=Data!$A$10,(IF($B$5=Data!$A$6,SPT!$J24,SPT!$J51)),(IF($B$5=Data!$A$6,SPT!$K24,SPT!$K51)))</f>
        <v>0</v>
      </c>
      <c r="E57" s="193">
        <f>IF($B$4=Data!$A$10,(IF($B$5=Data!$A$6,SHET!$J24,SHET!$J51)),(IF($B$5=Data!$A$6,SHET!$K24,SHET!$K51)))</f>
        <v>0</v>
      </c>
      <c r="V57" s="192" t="str">
        <f>ET!B24</f>
        <v/>
      </c>
      <c r="W57" s="193">
        <f>IF($V$43=Data!$A$6,INDEX(NGET!$D$11:$H$32,MATCH(V57,NGET!$B$11:$B$32,0),MATCH($V$4,NGET!$D$7:$H$7,0)),INDEX(NGET!$D$38:$H$59,MATCH(V57,NGET!$B$38:$B$59,0),MATCH($V$4,NGET!$D$7:$H$7,0)))</f>
        <v>0</v>
      </c>
      <c r="X57" s="193">
        <f>IF($V$43=Data!$A$6,INDEX(SPT!$D$11:$H$32,MATCH(V57,SPT!$B$11:$B$32,0),MATCH($V$4,SPT!$D$7:$H$7,0)),INDEX(SPT!$D$38:$H$59,MATCH(V57,SPT!$B$38:$B$59,0),MATCH($V$4,SPT!$D$7:$H$7,0)))</f>
        <v>0</v>
      </c>
      <c r="Y57" s="193">
        <f>IF($V$43=Data!$A$6,INDEX(SHET!$D$11:$H$32,MATCH(V57,SHET!$B$11:$B$32,0),MATCH($V$4,SHET!$D$7:$H$7,0)),INDEX(SHET!$D$38:$H$59,MATCH(V57,SHET!$B$38:$B$59,0),MATCH($V$4,SHET!$D$7:$H$7,0)))</f>
        <v>0</v>
      </c>
      <c r="Z57" s="194"/>
      <c r="AB57" s="194"/>
    </row>
    <row r="58" spans="2:28">
      <c r="B58" s="192" t="str">
        <f>ET!B25</f>
        <v/>
      </c>
      <c r="C58" s="193">
        <f>IF($B$4=Data!$A$10,(IF($B$5=Data!$A$6,NGET!$J25,NGET!$J52)),(IF($B$5=Data!$A$6,NGET!$K25,NGET!$K52)))</f>
        <v>0</v>
      </c>
      <c r="D58" s="193">
        <f>IF($B$4=Data!$A$10,(IF($B$5=Data!$A$6,SPT!$J25,SPT!$J52)),(IF($B$5=Data!$A$6,SPT!$K25,SPT!$K52)))</f>
        <v>0</v>
      </c>
      <c r="E58" s="193">
        <f>IF($B$4=Data!$A$10,(IF($B$5=Data!$A$6,SHET!$J25,SHET!$J52)),(IF($B$5=Data!$A$6,SHET!$K25,SHET!$K52)))</f>
        <v>0</v>
      </c>
      <c r="V58" s="192" t="str">
        <f>ET!B25</f>
        <v/>
      </c>
      <c r="W58" s="193">
        <f>IF($V$43=Data!$A$6,INDEX(NGET!$D$11:$H$32,MATCH(V58,NGET!$B$11:$B$32,0),MATCH($V$4,NGET!$D$7:$H$7,0)),INDEX(NGET!$D$38:$H$59,MATCH(V58,NGET!$B$38:$B$59,0),MATCH($V$4,NGET!$D$7:$H$7,0)))</f>
        <v>0</v>
      </c>
      <c r="X58" s="193">
        <f>IF($V$43=Data!$A$6,INDEX(SPT!$D$11:$H$32,MATCH(V58,SPT!$B$11:$B$32,0),MATCH($V$4,SPT!$D$7:$H$7,0)),INDEX(SPT!$D$38:$H$59,MATCH(V58,SPT!$B$38:$B$59,0),MATCH($V$4,SPT!$D$7:$H$7,0)))</f>
        <v>0</v>
      </c>
      <c r="Y58" s="193">
        <f>IF($V$43=Data!$A$6,INDEX(SHET!$D$11:$H$32,MATCH(V58,SHET!$B$11:$B$32,0),MATCH($V$4,SHET!$D$7:$H$7,0)),INDEX(SHET!$D$38:$H$59,MATCH(V58,SHET!$B$38:$B$59,0),MATCH($V$4,SHET!$D$7:$H$7,0)))</f>
        <v>0</v>
      </c>
      <c r="Z58" s="194"/>
      <c r="AB58" s="194"/>
    </row>
    <row r="59" spans="2:28">
      <c r="B59" s="192" t="str">
        <f>ET!B26</f>
        <v/>
      </c>
      <c r="C59" s="193">
        <f>IF($B$4=Data!$A$10,(IF($B$5=Data!$A$6,NGET!$J26,NGET!$J53)),(IF($B$5=Data!$A$6,NGET!$K26,NGET!$K53)))</f>
        <v>0</v>
      </c>
      <c r="D59" s="193">
        <f>IF($B$4=Data!$A$10,(IF($B$5=Data!$A$6,SPT!$J26,SPT!$J53)),(IF($B$5=Data!$A$6,SPT!$K26,SPT!$K53)))</f>
        <v>0</v>
      </c>
      <c r="E59" s="193">
        <f>IF($B$4=Data!$A$10,(IF($B$5=Data!$A$6,SHET!$J26,SHET!$J53)),(IF($B$5=Data!$A$6,SHET!$K26,SHET!$K53)))</f>
        <v>0</v>
      </c>
      <c r="V59" s="192" t="str">
        <f>ET!B26</f>
        <v/>
      </c>
      <c r="W59" s="193">
        <f>IF($V$43=Data!$A$6,INDEX(NGET!$D$11:$H$32,MATCH(V59,NGET!$B$11:$B$32,0),MATCH($V$4,NGET!$D$7:$H$7,0)),INDEX(NGET!$D$38:$H$59,MATCH(V59,NGET!$B$38:$B$59,0),MATCH($V$4,NGET!$D$7:$H$7,0)))</f>
        <v>0</v>
      </c>
      <c r="X59" s="193">
        <f>IF($V$43=Data!$A$6,INDEX(SPT!$D$11:$H$32,MATCH(V59,SPT!$B$11:$B$32,0),MATCH($V$4,SPT!$D$7:$H$7,0)),INDEX(SPT!$D$38:$H$59,MATCH(V59,SPT!$B$38:$B$59,0),MATCH($V$4,SPT!$D$7:$H$7,0)))</f>
        <v>0</v>
      </c>
      <c r="Y59" s="193">
        <f>IF($V$43=Data!$A$6,INDEX(SHET!$D$11:$H$32,MATCH(V59,SHET!$B$11:$B$32,0),MATCH($V$4,SHET!$D$7:$H$7,0)),INDEX(SHET!$D$38:$H$59,MATCH(V59,SHET!$B$38:$B$59,0),MATCH($V$4,SHET!$D$7:$H$7,0)))</f>
        <v>0</v>
      </c>
      <c r="Z59" s="194"/>
      <c r="AB59" s="194"/>
    </row>
    <row r="60" spans="2:28">
      <c r="B60" s="192" t="str">
        <f>ET!B27</f>
        <v/>
      </c>
      <c r="C60" s="193">
        <f>IF($B$4=Data!$A$10,(IF($B$5=Data!$A$6,NGET!$J27,NGET!$J54)),(IF($B$5=Data!$A$6,NGET!$K27,NGET!$K54)))</f>
        <v>0</v>
      </c>
      <c r="D60" s="193">
        <f>IF($B$4=Data!$A$10,(IF($B$5=Data!$A$6,SPT!$J27,SPT!$J54)),(IF($B$5=Data!$A$6,SPT!$K27,SPT!$K54)))</f>
        <v>0</v>
      </c>
      <c r="E60" s="193">
        <f>IF($B$4=Data!$A$10,(IF($B$5=Data!$A$6,SHET!$J27,SHET!$J54)),(IF($B$5=Data!$A$6,SHET!$K27,SHET!$K54)))</f>
        <v>0</v>
      </c>
      <c r="V60" s="192" t="str">
        <f>ET!B27</f>
        <v/>
      </c>
      <c r="W60" s="193">
        <f>IF($V$43=Data!$A$6,INDEX(NGET!$D$11:$H$32,MATCH(V60,NGET!$B$11:$B$32,0),MATCH($V$4,NGET!$D$7:$H$7,0)),INDEX(NGET!$D$38:$H$59,MATCH(V60,NGET!$B$38:$B$59,0),MATCH($V$4,NGET!$D$7:$H$7,0)))</f>
        <v>0</v>
      </c>
      <c r="X60" s="193">
        <f>IF($V$43=Data!$A$6,INDEX(SPT!$D$11:$H$32,MATCH(V60,SPT!$B$11:$B$32,0),MATCH($V$4,SPT!$D$7:$H$7,0)),INDEX(SPT!$D$38:$H$59,MATCH(V60,SPT!$B$38:$B$59,0),MATCH($V$4,SPT!$D$7:$H$7,0)))</f>
        <v>0</v>
      </c>
      <c r="Y60" s="193">
        <f>IF($V$43=Data!$A$6,INDEX(SHET!$D$11:$H$32,MATCH(V60,SHET!$B$11:$B$32,0),MATCH($V$4,SHET!$D$7:$H$7,0)),INDEX(SHET!$D$38:$H$59,MATCH(V60,SHET!$B$38:$B$59,0),MATCH($V$4,SHET!$D$7:$H$7,0)))</f>
        <v>0</v>
      </c>
      <c r="Z60" s="194"/>
      <c r="AB60" s="194"/>
    </row>
    <row r="61" spans="2:28">
      <c r="B61" s="192" t="str">
        <f>ET!B28</f>
        <v>Penalties and fines (Other Activities)</v>
      </c>
      <c r="C61" s="193">
        <f>IF($B$4=Data!$A$10,(IF($B$5=Data!$A$6,NGET!$J28,NGET!$J55)),(IF($B$5=Data!$A$6,NGET!$K28,NGET!$K55)))</f>
        <v>0</v>
      </c>
      <c r="D61" s="193">
        <f>IF($B$4=Data!$A$10,(IF($B$5=Data!$A$6,SPT!$J28,SPT!$J55)),(IF($B$5=Data!$A$6,SPT!$K28,SPT!$K55)))</f>
        <v>0</v>
      </c>
      <c r="E61" s="193">
        <f>IF($B$4=Data!$A$10,(IF($B$5=Data!$A$6,SHET!$J28,SHET!$J55)),(IF($B$5=Data!$A$6,SHET!$K28,SHET!$K55)))</f>
        <v>0</v>
      </c>
      <c r="V61" s="192" t="str">
        <f>ET!B28</f>
        <v>Penalties and fines (Other Activities)</v>
      </c>
      <c r="W61" s="193">
        <f>IF($V$43=Data!$A$6,INDEX(NGET!$D$11:$H$32,MATCH(V61,NGET!$B$11:$B$32,0),MATCH($V$4,NGET!$D$7:$H$7,0)),INDEX(NGET!$D$38:$H$59,MATCH(V61,NGET!$B$38:$B$59,0),MATCH($V$4,NGET!$D$7:$H$7,0)))</f>
        <v>0</v>
      </c>
      <c r="X61" s="193">
        <f>IF($V$43=Data!$A$6,INDEX(SPT!$D$11:$H$32,MATCH(V61,SPT!$B$11:$B$32,0),MATCH($V$4,SPT!$D$7:$H$7,0)),INDEX(SPT!$D$38:$H$59,MATCH(V61,SPT!$B$38:$B$59,0),MATCH($V$4,SPT!$D$7:$H$7,0)))</f>
        <v>0</v>
      </c>
      <c r="Y61" s="193">
        <f>IF($V$43=Data!$A$6,INDEX(SHET!$D$11:$H$32,MATCH(V61,SHET!$B$11:$B$32,0),MATCH($V$4,SHET!$D$7:$H$7,0)),INDEX(SHET!$D$38:$H$59,MATCH(V61,SHET!$B$38:$B$59,0),MATCH($V$4,SHET!$D$7:$H$7,0)))</f>
        <v>0</v>
      </c>
      <c r="Z61" s="194"/>
      <c r="AB61" s="194"/>
    </row>
    <row r="62" spans="2:28">
      <c r="B62" s="195" t="str">
        <f>ET!B29</f>
        <v>RoRE - Operational performance</v>
      </c>
      <c r="C62" s="196">
        <f>SUM(C44:C61)</f>
        <v>5.8601728697882736E-2</v>
      </c>
      <c r="D62" s="196">
        <f t="shared" ref="D62:E62" si="23">SUM(D44:D61)</f>
        <v>5.2658507924596774E-2</v>
      </c>
      <c r="E62" s="196">
        <f t="shared" si="23"/>
        <v>5.7599386889119926E-2</v>
      </c>
      <c r="V62" s="192" t="str">
        <f>ET!B29</f>
        <v>RoRE - Operational performance</v>
      </c>
      <c r="W62" s="196">
        <f>SUM(W44:W61)</f>
        <v>5.7473180574669748E-2</v>
      </c>
      <c r="X62" s="196">
        <f t="shared" ref="X62:Y62" si="24">SUM(X44:X61)</f>
        <v>5.7161516479934185E-2</v>
      </c>
      <c r="Y62" s="196">
        <f t="shared" si="24"/>
        <v>7.2250274347777046E-2</v>
      </c>
      <c r="Z62" s="194"/>
      <c r="AB62" s="194"/>
    </row>
    <row r="63" spans="2:28">
      <c r="B63" s="192" t="str">
        <f>IF($B$43=Data!$A$6,ET!$B30,ET!$B57)</f>
        <v>Debt performance - at notional gearing</v>
      </c>
      <c r="C63" s="193">
        <f>IF($B$4=Data!$A$10,(IF($B$5=Data!$A$6,NGET!$J30,NGET!$J57)),(IF($B$5=Data!$A$6,NGET!$K30,NGET!$K57)))</f>
        <v>2.458595633918962E-2</v>
      </c>
      <c r="D63" s="193">
        <f>IF($B$4=Data!$A$10,(IF($B$5=Data!$A$6,SPT!$J30,SPT!$J57)),(IF($B$5=Data!$A$6,SPT!$K30,SPT!$K57)))</f>
        <v>3.1647346709580471E-2</v>
      </c>
      <c r="E63" s="193">
        <f>IF($B$4=Data!$A$10,(IF($B$5=Data!$A$6,SHET!$J30,SHET!$J57)),(IF($B$5=Data!$A$6,SHET!$K30,SHET!$K57)))</f>
        <v>2.9853484689696973E-2</v>
      </c>
      <c r="V63" s="192" t="str">
        <f>IF($V$43=Data!$A$6,ET!$B30,ET!$B57)</f>
        <v>Debt performance - at notional gearing</v>
      </c>
      <c r="W63" s="193">
        <f>IF($V$43=Data!$A$6,INDEX(NGET!$D$11:$H$32,MATCH(V63,NGET!$B$11:$B$32,0),MATCH($V$4,NGET!$D$7:$H$7,0)),INDEX(NGET!$D$38:$H$59,MATCH(V63,NGET!$B$38:$B$59,0),MATCH($V$4,NGET!$D$7:$H$7,0)))</f>
        <v>3.9177688891091078E-2</v>
      </c>
      <c r="X63" s="193">
        <f>IF($V$43=Data!$A$6,INDEX(SPT!$D$11:$H$32,MATCH(V63,SPT!$B$11:$B$32,0),MATCH($V$4,SPT!$D$7:$H$7,0)),INDEX(SPT!$D$38:$H$59,MATCH(V63,SPT!$B$38:$B$59,0),MATCH($V$4,SPT!$D$7:$H$7,0)))</f>
        <v>4.0132726297343317E-2</v>
      </c>
      <c r="Y63" s="193">
        <f>IF($V$43=Data!$A$6,INDEX(SHET!$D$11:$H$32,MATCH(V63,SHET!$B$11:$B$32,0),MATCH($V$4,SHET!$D$7:$H$7,0)),INDEX(SHET!$D$38:$H$59,MATCH(V63,SHET!$B$38:$B$59,0),MATCH($V$4,SHET!$D$7:$H$7,0)))</f>
        <v>5.8629173489422974E-2</v>
      </c>
      <c r="Z63" s="194"/>
      <c r="AB63" s="194"/>
    </row>
    <row r="64" spans="2:28">
      <c r="B64" s="192" t="str">
        <f>IF($B$43=Data!$A$6,ET!$B31,ET!$B58)</f>
        <v>Tax performance - at notional gearing</v>
      </c>
      <c r="C64" s="193">
        <f>IF($B$4=Data!$A$10,(IF($B$5=Data!$A$6,NGET!$J31,NGET!$J58)),(IF($B$5=Data!$A$6,NGET!$K31,NGET!$K58)))</f>
        <v>4.3785971631238053E-4</v>
      </c>
      <c r="D64" s="193">
        <f>IF($B$4=Data!$A$10,(IF($B$5=Data!$A$6,SPT!$J31,SPT!$J58)),(IF($B$5=Data!$A$6,SPT!$K31,SPT!$K58)))</f>
        <v>3.3495484159402807E-4</v>
      </c>
      <c r="E64" s="193">
        <f>IF($B$4=Data!$A$10,(IF($B$5=Data!$A$6,SHET!$J31,SHET!$J58)),(IF($B$5=Data!$A$6,SHET!$K31,SHET!$K58)))</f>
        <v>-2.764871086282354E-3</v>
      </c>
      <c r="V64" s="192" t="str">
        <f>IF($V$43=Data!$A$6,ET!$B31,ET!$B58)</f>
        <v>Tax performance - at notional gearing</v>
      </c>
      <c r="W64" s="193">
        <f>IF($V$43=Data!$A$6,INDEX(NGET!$D$11:$H$32,MATCH(V64,NGET!$B$11:$B$32,0),MATCH($V$4,NGET!$D$7:$H$7,0)),INDEX(NGET!$D$38:$H$59,MATCH(V64,NGET!$B$38:$B$59,0),MATCH($V$4,NGET!$D$7:$H$7,0)))</f>
        <v>1.3944794810427405E-3</v>
      </c>
      <c r="X64" s="193">
        <f>IF($V$43=Data!$A$6,INDEX(SPT!$D$11:$H$32,MATCH(V64,SPT!$B$11:$B$32,0),MATCH($V$4,SPT!$D$7:$H$7,0)),INDEX(SPT!$D$38:$H$59,MATCH(V64,SPT!$B$38:$B$59,0),MATCH($V$4,SPT!$D$7:$H$7,0)))</f>
        <v>9.1912378674506589E-4</v>
      </c>
      <c r="Y64" s="193">
        <f>IF($V$43=Data!$A$6,INDEX(SHET!$D$11:$H$32,MATCH(V64,SHET!$B$11:$B$32,0),MATCH($V$4,SHET!$D$7:$H$7,0)),INDEX(SHET!$D$38:$H$59,MATCH(V64,SHET!$B$38:$B$59,0),MATCH($V$4,SHET!$D$7:$H$7,0)))</f>
        <v>-3.0856478019780794E-4</v>
      </c>
      <c r="Z64" s="194"/>
      <c r="AB64" s="194"/>
    </row>
    <row r="65" spans="1:29">
      <c r="B65" s="195" t="str">
        <f>ET!B32</f>
        <v>RoRE - including financing and tax</v>
      </c>
      <c r="C65" s="196">
        <f>SUM(C62:C64)</f>
        <v>8.362554475338474E-2</v>
      </c>
      <c r="D65" s="196">
        <f t="shared" ref="D65:E65" si="25">SUM(D62:D64)</f>
        <v>8.4640809475771281E-2</v>
      </c>
      <c r="E65" s="196">
        <f t="shared" si="25"/>
        <v>8.468800049253454E-2</v>
      </c>
      <c r="V65" s="195" t="str">
        <f>ET!B32</f>
        <v>RoRE - including financing and tax</v>
      </c>
      <c r="W65" s="196">
        <f>SUM(W62:W64)</f>
        <v>9.8045348946803557E-2</v>
      </c>
      <c r="X65" s="196">
        <f t="shared" ref="X65:Y65" si="26">SUM(X62:X64)</f>
        <v>9.8213366564022561E-2</v>
      </c>
      <c r="Y65" s="196">
        <f t="shared" si="26"/>
        <v>0.13057088305700221</v>
      </c>
      <c r="Z65" s="194"/>
      <c r="AB65" s="194"/>
    </row>
    <row r="68" spans="1:29">
      <c r="A68" s="177" t="s">
        <v>127</v>
      </c>
      <c r="B68" s="189" t="str">
        <f>$B$4</f>
        <v>RIIO-2 period</v>
      </c>
      <c r="U68" s="177" t="s">
        <v>127</v>
      </c>
      <c r="V68" s="189">
        <f>$V$4</f>
        <v>2024</v>
      </c>
    </row>
    <row r="69" spans="1:29">
      <c r="B69" s="191" t="str">
        <f>$B$5</f>
        <v>RoRE based on Notional Gearing</v>
      </c>
      <c r="C69" s="120" t="s">
        <v>137</v>
      </c>
      <c r="V69" s="191" t="str">
        <f>$V$5</f>
        <v>RoRE based on Notional Gearing</v>
      </c>
      <c r="W69" s="120" t="s">
        <v>137</v>
      </c>
    </row>
    <row r="70" spans="1:29">
      <c r="B70" s="119" t="str">
        <f>GT!$B11</f>
        <v>Allowed Equity Return</v>
      </c>
      <c r="C70" s="193">
        <f>IF($B$4=Data!$A$10,(IF($B$5=Data!$A$6,GT!$J11,GT!$J38)),(IF($B$5=Data!$A$6,GT!$K11,GT!$K38)))</f>
        <v>5.0894340119933164E-2</v>
      </c>
      <c r="V70" s="119" t="str">
        <f>GT!$B11</f>
        <v>Allowed Equity Return</v>
      </c>
      <c r="W70" s="193">
        <f>IF($V$69=Data!$A$6,INDEX(GT!$D$11:$H$32,MATCH(V70,GT!$B$11:$B$32,0),MATCH(V4,GT!$D$7:$H$7,0)),INDEX(GT!$D$38:$H$59,MATCH(V70,GT!$B$38:$B$59,0),MATCH(V4,GT!$D$7:$H$7,0)))</f>
        <v>5.2833943999999994E-2</v>
      </c>
      <c r="Z70" s="194"/>
      <c r="AB70" s="198"/>
      <c r="AC70" s="194"/>
    </row>
    <row r="71" spans="1:29">
      <c r="B71" s="119" t="str">
        <f>GT!$B12</f>
        <v>Totex outperformance</v>
      </c>
      <c r="C71" s="193">
        <f>IF($B$4=Data!$A$10,(IF($B$5=Data!$A$6,GT!$J12,GT!$J39)),(IF($B$5=Data!$A$6,GT!$K12,GT!$K39)))</f>
        <v>8.3649235729465349E-4</v>
      </c>
      <c r="V71" s="119" t="str">
        <f>GT!$B12</f>
        <v>Totex outperformance</v>
      </c>
      <c r="W71" s="193">
        <f>IF($V$69=Data!$A$6,INDEX(GT!$D$11:$H$32,MATCH(V71,GT!$B$11:$B$32,0),MATCH($V$4,GT!$D$7:$H$7,0)),INDEX(GT!$D$38:$H$59,MATCH(V71,GT!$B$38:$B$59,0),MATCH($V$4,GT!$D$7:$H$7,0)))</f>
        <v>1.375272803783671E-3</v>
      </c>
      <c r="Z71" s="194"/>
      <c r="AB71" s="198"/>
      <c r="AC71" s="194"/>
    </row>
    <row r="72" spans="1:29">
      <c r="B72" s="119" t="str">
        <f>GT!$B13</f>
        <v>Business Plan Incentive</v>
      </c>
      <c r="C72" s="193">
        <f>IF($B$4=Data!$A$10,(IF($B$5=Data!$A$6,GT!$J13,GT!$J40)),(IF($B$5=Data!$A$6,GT!$K13,GT!$K40)))</f>
        <v>-1.9123800670297285E-3</v>
      </c>
      <c r="V72" s="119" t="str">
        <f>GT!$B13</f>
        <v>Business Plan Incentive</v>
      </c>
      <c r="W72" s="193">
        <f>IF($V$69=Data!$A$6,INDEX(GT!$D$11:$H$32,MATCH(V72,GT!$B$11:$B$32,0),MATCH($V$4,GT!$D$7:$H$7,0)),INDEX(GT!$D$38:$H$59,MATCH(V72,GT!$B$38:$B$59,0),MATCH($V$4,GT!$D$7:$H$7,0)))</f>
        <v>-1.9299326946253738E-3</v>
      </c>
      <c r="Z72" s="194"/>
      <c r="AB72" s="198"/>
      <c r="AC72" s="194"/>
    </row>
    <row r="73" spans="1:29">
      <c r="B73" s="119" t="str">
        <f>GT!$B14</f>
        <v>Customer satisfaction survey ODI</v>
      </c>
      <c r="C73" s="193">
        <f>IF($B$4=Data!$A$10,(IF($B$5=Data!$A$6,GT!$J14,GT!$J41)),(IF($B$5=Data!$A$6,GT!$K14,GT!$K41)))</f>
        <v>1.6065050344142339E-3</v>
      </c>
      <c r="V73" s="119" t="str">
        <f>GT!$B14</f>
        <v>Customer satisfaction survey ODI</v>
      </c>
      <c r="W73" s="193">
        <f>IF($V$69=Data!$A$6,INDEX(GT!$D$11:$H$32,MATCH(V73,GT!$B$11:$B$32,0),MATCH($V$4,GT!$D$7:$H$7,0)),INDEX(GT!$D$38:$H$59,MATCH(V73,GT!$B$38:$B$59,0),MATCH($V$4,GT!$D$7:$H$7,0)))</f>
        <v>1.6212502124704972E-3</v>
      </c>
      <c r="Z73" s="194"/>
      <c r="AB73" s="198"/>
      <c r="AC73" s="194"/>
    </row>
    <row r="74" spans="1:29">
      <c r="B74" s="119" t="str">
        <f>GT!$B15</f>
        <v>Environmental scorecard ODI</v>
      </c>
      <c r="C74" s="193">
        <f>IF($B$4=Data!$A$10,(IF($B$5=Data!$A$6,GT!$J15,GT!$J42)),(IF($B$5=Data!$A$6,GT!$K15,GT!$K42)))</f>
        <v>4.6122568079654887E-5</v>
      </c>
      <c r="V74" s="119" t="str">
        <f>GT!$B15</f>
        <v>Environmental scorecard ODI</v>
      </c>
      <c r="W74" s="193">
        <f>IF($V$69=Data!$A$6,INDEX(GT!$D$11:$H$32,MATCH(V74,GT!$B$11:$B$32,0),MATCH($V$4,GT!$D$7:$H$7,0)),INDEX(GT!$D$38:$H$59,MATCH(V74,GT!$B$38:$B$59,0),MATCH($V$4,GT!$D$7:$H$7,0)))</f>
        <v>5.1539313409756659E-5</v>
      </c>
      <c r="Z74" s="194"/>
      <c r="AB74" s="198"/>
      <c r="AC74" s="194"/>
    </row>
    <row r="75" spans="1:29">
      <c r="B75" s="119" t="str">
        <f>GT!$B16</f>
        <v/>
      </c>
      <c r="C75" s="193">
        <f>IF($B$4=Data!$A$10,(IF($B$5=Data!$A$6,GT!$J16,GT!$J43)),(IF($B$5=Data!$A$6,GT!$K16,GT!$K43)))</f>
        <v>0</v>
      </c>
      <c r="V75" s="119" t="str">
        <f>GT!$B16</f>
        <v/>
      </c>
      <c r="W75" s="193">
        <f>IF($V$69=Data!$A$6,INDEX(GT!$D$11:$H$32,MATCH(V75,GT!$B$11:$B$32,0),MATCH($V$4,GT!$D$7:$H$7,0)),INDEX(GT!$D$38:$H$59,MATCH(V75,GT!$B$38:$B$59,0),MATCH($V$4,GT!$D$7:$H$7,0)))</f>
        <v>0</v>
      </c>
      <c r="Z75" s="194"/>
      <c r="AB75" s="198"/>
      <c r="AC75" s="194"/>
    </row>
    <row r="76" spans="1:29">
      <c r="B76" s="119" t="str">
        <f>GT!$B17</f>
        <v/>
      </c>
      <c r="C76" s="193">
        <f>IF($B$4=Data!$A$10,(IF($B$5=Data!$A$6,GT!$J17,GT!$J44)),(IF($B$5=Data!$A$6,GT!$K17,GT!$K44)))</f>
        <v>0</v>
      </c>
      <c r="V76" s="119" t="str">
        <f>GT!$B17</f>
        <v/>
      </c>
      <c r="W76" s="193">
        <f>IF($V$69=Data!$A$6,INDEX(GT!$D$11:$H$32,MATCH(V76,GT!$B$11:$B$32,0),MATCH($V$4,GT!$D$7:$H$7,0)),INDEX(GT!$D$38:$H$59,MATCH(V76,GT!$B$38:$B$59,0),MATCH($V$4,GT!$D$7:$H$7,0)))</f>
        <v>0</v>
      </c>
      <c r="Z76" s="194"/>
      <c r="AB76" s="198"/>
      <c r="AC76" s="194"/>
    </row>
    <row r="77" spans="1:29">
      <c r="B77" s="119" t="str">
        <f>GT!$B18</f>
        <v/>
      </c>
      <c r="C77" s="193">
        <f>IF($B$4=Data!$A$10,(IF($B$5=Data!$A$6,GT!$J18,GT!$J45)),(IF($B$5=Data!$A$6,GT!$K18,GT!$K45)))</f>
        <v>0</v>
      </c>
      <c r="V77" s="119" t="str">
        <f>GT!$B18</f>
        <v/>
      </c>
      <c r="W77" s="193">
        <f>IF($V$69=Data!$A$6,INDEX(GT!$D$11:$H$32,MATCH(V77,GT!$B$11:$B$32,0),MATCH($V$4,GT!$D$7:$H$7,0)),INDEX(GT!$D$38:$H$59,MATCH(V77,GT!$B$38:$B$59,0),MATCH($V$4,GT!$D$7:$H$7,0)))</f>
        <v>0</v>
      </c>
      <c r="Z77" s="194"/>
      <c r="AB77" s="198"/>
      <c r="AC77" s="194"/>
    </row>
    <row r="78" spans="1:29">
      <c r="B78" s="119" t="str">
        <f>GT!$B19</f>
        <v/>
      </c>
      <c r="C78" s="193">
        <f>IF($B$4=Data!$A$10,(IF($B$5=Data!$A$6,GT!$J19,GT!$J46)),(IF($B$5=Data!$A$6,GT!$K19,GT!$K46)))</f>
        <v>0</v>
      </c>
      <c r="V78" s="119" t="str">
        <f>GT!$B19</f>
        <v/>
      </c>
      <c r="W78" s="193">
        <f>IF($V$69=Data!$A$6,INDEX(GT!$D$11:$H$32,MATCH(V78,GT!$B$11:$B$32,0),MATCH($V$4,GT!$D$7:$H$7,0)),INDEX(GT!$D$38:$H$59,MATCH(V78,GT!$B$38:$B$59,0),MATCH($V$4,GT!$D$7:$H$7,0)))</f>
        <v>0</v>
      </c>
      <c r="Z78" s="194"/>
      <c r="AB78" s="198"/>
      <c r="AC78" s="194"/>
    </row>
    <row r="79" spans="1:29">
      <c r="B79" s="119" t="str">
        <f>GT!$B20</f>
        <v>Network innovation input for RORE</v>
      </c>
      <c r="C79" s="193">
        <f>IF($B$4=Data!$A$10,(IF($B$5=Data!$A$6,GT!$J20,GT!$J47)),(IF($B$5=Data!$A$6,GT!$K20,GT!$K47)))</f>
        <v>-2.4529376226434886E-4</v>
      </c>
      <c r="V79" s="119" t="str">
        <f>GT!$B20</f>
        <v>Network innovation input for RORE</v>
      </c>
      <c r="W79" s="193">
        <f>IF($V$69=Data!$A$6,INDEX(GT!$D$11:$H$32,MATCH(V79,GT!$B$11:$B$32,0),MATCH($V$4,GT!$D$7:$H$7,0)),INDEX(GT!$D$38:$H$59,MATCH(V79,GT!$B$38:$B$59,0),MATCH($V$4,GT!$D$7:$H$7,0)))</f>
        <v>-3.3714887820374123E-4</v>
      </c>
      <c r="Z79" s="194"/>
      <c r="AB79" s="198"/>
      <c r="AC79" s="194"/>
    </row>
    <row r="80" spans="1:29">
      <c r="B80" s="119" t="str">
        <f>GT!$B21</f>
        <v>Carry-over Network innovation input for RORE</v>
      </c>
      <c r="C80" s="193">
        <f>IF($B$4=Data!$A$10,(IF($B$5=Data!$A$6,GT!$J21,GT!$J48)),(IF($B$5=Data!$A$6,GT!$K21,GT!$K48)))</f>
        <v>-9.9028912582170593E-7</v>
      </c>
      <c r="V80" s="119" t="str">
        <f>GT!$B21</f>
        <v>Carry-over Network innovation input for RORE</v>
      </c>
      <c r="W80" s="193">
        <f>IF($V$69=Data!$A$6,INDEX(GT!$D$11:$H$32,MATCH(V80,GT!$B$11:$B$32,0),MATCH($V$4,GT!$D$7:$H$7,0)),INDEX(GT!$D$38:$H$59,MATCH(V80,GT!$B$38:$B$59,0),MATCH($V$4,GT!$D$7:$H$7,0)))</f>
        <v>0</v>
      </c>
      <c r="Z80" s="194"/>
      <c r="AB80" s="198"/>
      <c r="AC80" s="194"/>
    </row>
    <row r="81" spans="2:29">
      <c r="B81" s="119" t="str">
        <f>GT!$B22</f>
        <v>Strategic innovation input for RORE</v>
      </c>
      <c r="C81" s="193">
        <f>IF($B$4=Data!$A$10,(IF($B$5=Data!$A$6,GT!$J22,GT!$J49)),(IF($B$5=Data!$A$6,GT!$K22,GT!$K49)))</f>
        <v>-4.0064340367166712E-4</v>
      </c>
      <c r="V81" s="119" t="str">
        <f>GT!$B22</f>
        <v>Strategic innovation input for RORE</v>
      </c>
      <c r="W81" s="193">
        <f>IF($V$69=Data!$A$6,INDEX(GT!$D$11:$H$32,MATCH(V81,GT!$B$11:$B$32,0),MATCH($V$4,GT!$D$7:$H$7,0)),INDEX(GT!$D$38:$H$59,MATCH(V81,GT!$B$38:$B$59,0),MATCH($V$4,GT!$D$7:$H$7,0)))</f>
        <v>-2.9805206238037863E-4</v>
      </c>
      <c r="Z81" s="194"/>
      <c r="AB81" s="198"/>
      <c r="AC81" s="194"/>
    </row>
    <row r="82" spans="2:29">
      <c r="B82" s="119" t="str">
        <f>GT!$B23</f>
        <v/>
      </c>
      <c r="C82" s="193">
        <f>IF($B$4=Data!$A$10,(IF($B$5=Data!$A$6,GT!$J23,GT!$J50)),(IF($B$5=Data!$A$6,GT!$K23,GT!$K50)))</f>
        <v>0</v>
      </c>
      <c r="V82" s="119" t="str">
        <f>GT!$B23</f>
        <v/>
      </c>
      <c r="W82" s="193">
        <f>IF($V$69=Data!$A$6,INDEX(GT!$D$11:$H$32,MATCH(V82,GT!$B$11:$B$32,0),MATCH($V$4,GT!$D$7:$H$7,0)),INDEX(GT!$D$38:$H$59,MATCH(V82,GT!$B$38:$B$59,0),MATCH($V$4,GT!$D$7:$H$7,0)))</f>
        <v>0</v>
      </c>
      <c r="Z82" s="194"/>
      <c r="AB82" s="198"/>
      <c r="AC82" s="194"/>
    </row>
    <row r="83" spans="2:29">
      <c r="B83" s="119" t="str">
        <f>GT!$B24</f>
        <v/>
      </c>
      <c r="C83" s="193">
        <f>IF($B$4=Data!$A$10,(IF($B$5=Data!$A$6,GT!$J24,GT!$J51)),(IF($B$5=Data!$A$6,GT!$K24,GT!$K51)))</f>
        <v>0</v>
      </c>
      <c r="V83" s="119" t="str">
        <f>GT!$B24</f>
        <v/>
      </c>
      <c r="W83" s="193">
        <f>IF($V$69=Data!$A$6,INDEX(GT!$D$11:$H$32,MATCH(V83,GT!$B$11:$B$32,0),MATCH($V$4,GT!$D$7:$H$7,0)),INDEX(GT!$D$38:$H$59,MATCH(V83,GT!$B$38:$B$59,0),MATCH($V$4,GT!$D$7:$H$7,0)))</f>
        <v>0</v>
      </c>
      <c r="Z83" s="194"/>
      <c r="AB83" s="198"/>
      <c r="AC83" s="194"/>
    </row>
    <row r="84" spans="2:29">
      <c r="B84" s="119" t="str">
        <f>GT!$B25</f>
        <v/>
      </c>
      <c r="C84" s="193">
        <f>IF($B$4=Data!$A$10,(IF($B$5=Data!$A$6,GT!$J25,GT!$J52)),(IF($B$5=Data!$A$6,GT!$K25,GT!$K52)))</f>
        <v>0</v>
      </c>
      <c r="V84" s="119" t="str">
        <f>GT!$B25</f>
        <v/>
      </c>
      <c r="W84" s="193">
        <f>IF($V$69=Data!$A$6,INDEX(GT!$D$11:$H$32,MATCH(V84,GT!$B$11:$B$32,0),MATCH($V$4,GT!$D$7:$H$7,0)),INDEX(GT!$D$38:$H$59,MATCH(V84,GT!$B$38:$B$59,0),MATCH($V$4,GT!$D$7:$H$7,0)))</f>
        <v>0</v>
      </c>
      <c r="Z84" s="194"/>
      <c r="AB84" s="198"/>
      <c r="AC84" s="194"/>
    </row>
    <row r="85" spans="2:29">
      <c r="B85" s="119" t="str">
        <f>GT!$B26</f>
        <v/>
      </c>
      <c r="C85" s="193">
        <f>IF($B$4=Data!$A$10,(IF($B$5=Data!$A$6,GT!$J26,GT!$J53)),(IF($B$5=Data!$A$6,GT!$K26,GT!$K53)))</f>
        <v>0</v>
      </c>
      <c r="V85" s="119" t="str">
        <f>GT!$B26</f>
        <v/>
      </c>
      <c r="W85" s="193">
        <f>IF($V$69=Data!$A$6,INDEX(GT!$D$11:$H$32,MATCH(V85,GT!$B$11:$B$32,0),MATCH($V$4,GT!$D$7:$H$7,0)),INDEX(GT!$D$38:$H$59,MATCH(V85,GT!$B$38:$B$59,0),MATCH($V$4,GT!$D$7:$H$7,0)))</f>
        <v>0</v>
      </c>
      <c r="Z85" s="194"/>
      <c r="AB85" s="198"/>
      <c r="AC85" s="194"/>
    </row>
    <row r="86" spans="2:29">
      <c r="B86" s="119" t="str">
        <f>GT!$B27</f>
        <v/>
      </c>
      <c r="C86" s="193">
        <f>IF($B$4=Data!$A$10,(IF($B$5=Data!$A$6,GT!$J27,GT!$J54)),(IF($B$5=Data!$A$6,GT!$K27,GT!$K54)))</f>
        <v>0</v>
      </c>
      <c r="V86" s="119" t="str">
        <f>GT!$B27</f>
        <v/>
      </c>
      <c r="W86" s="193">
        <f>IF($V$69=Data!$A$6,INDEX(GT!$D$11:$H$32,MATCH(V86,GT!$B$11:$B$32,0),MATCH($V$4,GT!$D$7:$H$7,0)),INDEX(GT!$D$38:$H$59,MATCH(V86,GT!$B$38:$B$59,0),MATCH($V$4,GT!$D$7:$H$7,0)))</f>
        <v>0</v>
      </c>
      <c r="Z86" s="194"/>
      <c r="AB86" s="198"/>
      <c r="AC86" s="194"/>
    </row>
    <row r="87" spans="2:29">
      <c r="B87" s="119" t="str">
        <f>GT!$B28</f>
        <v>Penalties and fines (Other Activities)</v>
      </c>
      <c r="C87" s="193">
        <f>IF($B$4=Data!$A$10,(IF($B$5=Data!$A$6,GT!$J28,GT!$J55)),(IF($B$5=Data!$A$6,GT!$K28,GT!$K55)))</f>
        <v>0</v>
      </c>
      <c r="V87" s="119" t="str">
        <f>GT!$B28</f>
        <v>Penalties and fines (Other Activities)</v>
      </c>
      <c r="W87" s="193">
        <f>IF($V$69=Data!$A$6,INDEX(GT!$D$11:$H$32,MATCH(V87,GT!$B$11:$B$32,0),MATCH($V$4,GT!$D$7:$H$7,0)),INDEX(GT!$D$38:$H$59,MATCH(V87,GT!$B$38:$B$59,0),MATCH($V$4,GT!$D$7:$H$7,0)))</f>
        <v>0</v>
      </c>
      <c r="Z87" s="194"/>
      <c r="AB87" s="198"/>
      <c r="AC87" s="194"/>
    </row>
    <row r="88" spans="2:29">
      <c r="B88" s="117" t="str">
        <f>GT!$B29</f>
        <v>RoRE - Operational performance</v>
      </c>
      <c r="C88" s="196">
        <f>SUM(C70:C87)</f>
        <v>5.0824152557630148E-2</v>
      </c>
      <c r="V88" s="117" t="str">
        <f>GT!$B29</f>
        <v>RoRE - Operational performance</v>
      </c>
      <c r="W88" s="196">
        <f>SUM(W70:W87)</f>
        <v>5.3316872694454426E-2</v>
      </c>
      <c r="Z88" s="194"/>
      <c r="AB88" s="198"/>
      <c r="AC88" s="194"/>
    </row>
    <row r="89" spans="2:29">
      <c r="B89" s="119" t="str">
        <f>IF($B$69=Data!$A$6,GT!$B30,GT!$B57)</f>
        <v>Debt performance - at notional gearing</v>
      </c>
      <c r="C89" s="193">
        <f>IF($B$4=Data!$A$10,(IF($B$5=Data!$A$6,GT!$J30,GT!$J57)),(IF($B$5=Data!$A$6,GT!$K30,GT!$K57)))</f>
        <v>9.0025040766013997E-5</v>
      </c>
      <c r="V89" s="119" t="str">
        <f>IF($V$69=Data!$A$6,GT!$B30,GT!$B57)</f>
        <v>Debt performance - at notional gearing</v>
      </c>
      <c r="W89" s="193">
        <f>IF($V$69=Data!$A$6,INDEX(GT!$D$11:$H$32,MATCH(V89,GT!$B$11:$B$32,0),MATCH($V$4,GT!$D$7:$H$7,0)),INDEX(GT!$D$38:$H$59,MATCH(V89,GT!$B$38:$B$59,0),MATCH($V$4,GT!$D$7:$H$7,0)))</f>
        <v>1.1480055672300435E-2</v>
      </c>
      <c r="Z89" s="194"/>
      <c r="AB89" s="198"/>
      <c r="AC89" s="194"/>
    </row>
    <row r="90" spans="2:29">
      <c r="B90" s="119" t="str">
        <f>IF($B$69=Data!$A$6,GT!$B31,GT!$B58)</f>
        <v>Tax performance - at notional gearing</v>
      </c>
      <c r="C90" s="193">
        <f>IF($B$4=Data!$A$10,(IF($B$5=Data!$A$6,GT!$J31,GT!$J58)),(IF($B$5=Data!$A$6,GT!$K31,GT!$K58)))</f>
        <v>7.3263855864285762E-3</v>
      </c>
      <c r="V90" s="119" t="str">
        <f>IF($V$69=Data!$A$6,GT!$B31,GT!$B58)</f>
        <v>Tax performance - at notional gearing</v>
      </c>
      <c r="W90" s="193">
        <f>IF($V$69=Data!$A$6,INDEX(GT!$D$11:$H$32,MATCH(V90,GT!$B$11:$B$32,0),MATCH($V$4,GT!$D$7:$H$7,0)),INDEX(GT!$D$38:$H$59,MATCH(V90,GT!$B$38:$B$59,0),MATCH($V$4,GT!$D$7:$H$7,0)))</f>
        <v>5.8421169175811366E-3</v>
      </c>
      <c r="Z90" s="194"/>
      <c r="AB90" s="198"/>
      <c r="AC90" s="194"/>
    </row>
    <row r="91" spans="2:29">
      <c r="B91" s="117" t="str">
        <f>GT!$B32</f>
        <v>RoRE - including financing and tax</v>
      </c>
      <c r="C91" s="196">
        <f>SUM(C88:C90)</f>
        <v>5.8240563184824741E-2</v>
      </c>
      <c r="V91" s="117" t="str">
        <f>GT!$B32</f>
        <v>RoRE - including financing and tax</v>
      </c>
      <c r="W91" s="196">
        <f>SUM(W88:W90)</f>
        <v>7.0639045284335997E-2</v>
      </c>
      <c r="Z91" s="194"/>
      <c r="AB91" s="198"/>
      <c r="AC91" s="194"/>
    </row>
  </sheetData>
  <mergeCells count="6">
    <mergeCell ref="AE4:AJ4"/>
    <mergeCell ref="C4:F4"/>
    <mergeCell ref="G4:I4"/>
    <mergeCell ref="W4:Z4"/>
    <mergeCell ref="AA4:AC4"/>
    <mergeCell ref="K4:P4"/>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rowBreaks count="1" manualBreakCount="1">
    <brk id="40" max="16383" man="1"/>
  </rowBreaks>
  <ignoredErrors>
    <ignoredError sqref="W62:Y62 W36:Z36 AE38:AJ38"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D38F67-455D-488F-9EA3-551574A72C11}">
          <x14:formula1>
            <xm:f>Data!$A$6:$A$7</xm:f>
          </x14:formula1>
          <xm:sqref>B5 V5</xm:sqref>
        </x14:dataValidation>
        <x14:dataValidation type="list" allowBlank="1" showInputMessage="1" showErrorMessage="1" xr:uid="{A1891B1F-C32F-4F29-A344-C04EA6C52369}">
          <x14:formula1>
            <xm:f>Data!$A$10:$A$11</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tint="0.39997558519241921"/>
    <pageSetUpPr fitToPage="1"/>
  </sheetPr>
  <dimension ref="B1:P24"/>
  <sheetViews>
    <sheetView zoomScale="80" zoomScaleNormal="80" workbookViewId="0"/>
  </sheetViews>
  <sheetFormatPr defaultColWidth="9.26953125" defaultRowHeight="10.199999999999999"/>
  <cols>
    <col min="1" max="1" width="1.90625" style="105" customWidth="1"/>
    <col min="2" max="2" width="33.08984375" style="105" customWidth="1"/>
    <col min="3" max="17" width="9.08984375" style="105" customWidth="1"/>
    <col min="18" max="16384" width="9.26953125" style="105"/>
  </cols>
  <sheetData>
    <row r="1" spans="2:16" s="112" customFormat="1" ht="57" customHeight="1"/>
    <row r="2" spans="2:16" ht="11.4">
      <c r="B2" s="175" t="s">
        <v>139</v>
      </c>
    </row>
    <row r="4" spans="2:16" ht="12.75" customHeight="1">
      <c r="B4" s="121" t="s">
        <v>140</v>
      </c>
      <c r="C4" s="499" t="s">
        <v>105</v>
      </c>
      <c r="D4" s="498"/>
      <c r="E4" s="498"/>
      <c r="F4" s="498"/>
      <c r="G4" s="498" t="s">
        <v>126</v>
      </c>
      <c r="H4" s="498"/>
      <c r="I4" s="498"/>
      <c r="J4" s="123" t="s">
        <v>127</v>
      </c>
      <c r="K4" s="487" t="s">
        <v>106</v>
      </c>
      <c r="L4" s="488"/>
      <c r="M4" s="488"/>
      <c r="N4" s="488"/>
      <c r="O4" s="488"/>
      <c r="P4" s="489"/>
    </row>
    <row r="5" spans="2:16" ht="21.75" customHeight="1">
      <c r="B5" s="124" t="s">
        <v>95</v>
      </c>
      <c r="C5" s="125" t="s">
        <v>12</v>
      </c>
      <c r="D5" s="125" t="s">
        <v>13</v>
      </c>
      <c r="E5" s="125" t="s">
        <v>14</v>
      </c>
      <c r="F5" s="125" t="s">
        <v>15</v>
      </c>
      <c r="G5" s="125" t="s">
        <v>136</v>
      </c>
      <c r="H5" s="125" t="s">
        <v>19</v>
      </c>
      <c r="I5" s="125" t="s">
        <v>20</v>
      </c>
      <c r="J5" s="125" t="s">
        <v>137</v>
      </c>
      <c r="K5" s="145" t="s">
        <v>22</v>
      </c>
      <c r="L5" s="145" t="s">
        <v>23</v>
      </c>
      <c r="M5" s="145" t="s">
        <v>24</v>
      </c>
      <c r="N5" s="145" t="s">
        <v>25</v>
      </c>
      <c r="O5" s="145" t="s">
        <v>26</v>
      </c>
      <c r="P5" s="145" t="s">
        <v>27</v>
      </c>
    </row>
    <row r="6" spans="2:16">
      <c r="B6" s="126" t="s">
        <v>141</v>
      </c>
      <c r="C6" s="127">
        <v>5849.9945389889435</v>
      </c>
      <c r="D6" s="127">
        <v>1362.1071327133848</v>
      </c>
      <c r="E6" s="127">
        <v>3379.0963394963173</v>
      </c>
      <c r="F6" s="127">
        <v>1350.5279039463942</v>
      </c>
      <c r="G6" s="127">
        <v>8184.5851864233728</v>
      </c>
      <c r="H6" s="127">
        <v>1532.1196117578947</v>
      </c>
      <c r="I6" s="127">
        <v>2484.9167389297618</v>
      </c>
      <c r="J6" s="405">
        <v>3403.3506791925911</v>
      </c>
      <c r="K6" s="449">
        <v>1333.101381775615</v>
      </c>
      <c r="L6" s="449">
        <v>5463.6936063583616</v>
      </c>
      <c r="M6" s="449">
        <v>2257.573732715724</v>
      </c>
      <c r="N6" s="449">
        <v>2668.8909115243982</v>
      </c>
      <c r="O6" s="449">
        <v>2733.5107512250506</v>
      </c>
      <c r="P6" s="449">
        <v>4054.3572580147206</v>
      </c>
    </row>
    <row r="7" spans="2:16">
      <c r="B7" s="126" t="s">
        <v>142</v>
      </c>
      <c r="C7" s="127">
        <v>3899.9963593259631</v>
      </c>
      <c r="D7" s="127">
        <v>908.07142180892311</v>
      </c>
      <c r="E7" s="127">
        <v>2252.7308929975452</v>
      </c>
      <c r="F7" s="127">
        <v>900.35193596426291</v>
      </c>
      <c r="G7" s="127">
        <v>6696.478788891849</v>
      </c>
      <c r="H7" s="127">
        <v>1253.5524096200957</v>
      </c>
      <c r="I7" s="127">
        <v>2033.1136954879864</v>
      </c>
      <c r="J7" s="405">
        <v>2268.900452795061</v>
      </c>
      <c r="K7" s="449">
        <v>888.73425451707658</v>
      </c>
      <c r="L7" s="449">
        <v>3642.4624042389082</v>
      </c>
      <c r="M7" s="449">
        <v>1505.0491551438163</v>
      </c>
      <c r="N7" s="449">
        <v>1779.2606076829325</v>
      </c>
      <c r="O7" s="449">
        <v>1822.3405008167006</v>
      </c>
      <c r="P7" s="449">
        <v>2702.9048386764803</v>
      </c>
    </row>
    <row r="8" spans="2:16">
      <c r="B8" s="126" t="s">
        <v>143</v>
      </c>
      <c r="C8" s="127">
        <v>9749.9908983149053</v>
      </c>
      <c r="D8" s="127">
        <v>2270.1785545223079</v>
      </c>
      <c r="E8" s="127">
        <v>5631.8272324938625</v>
      </c>
      <c r="F8" s="127">
        <v>2250.8798399106572</v>
      </c>
      <c r="G8" s="127">
        <v>14881.063975315221</v>
      </c>
      <c r="H8" s="127">
        <v>2785.6720213779904</v>
      </c>
      <c r="I8" s="127">
        <v>4518.0304344177475</v>
      </c>
      <c r="J8" s="405">
        <v>5672.2511319876521</v>
      </c>
      <c r="K8" s="449">
        <v>2221.8356362926916</v>
      </c>
      <c r="L8" s="449">
        <v>9106.1560105972712</v>
      </c>
      <c r="M8" s="449">
        <v>3762.6228878595402</v>
      </c>
      <c r="N8" s="449">
        <v>4448.1515192073311</v>
      </c>
      <c r="O8" s="449">
        <v>4555.8512520417516</v>
      </c>
      <c r="P8" s="449">
        <v>6757.2620966912018</v>
      </c>
    </row>
    <row r="9" spans="2:16">
      <c r="C9" s="128"/>
      <c r="D9" s="128"/>
      <c r="E9" s="128"/>
      <c r="F9" s="128"/>
    </row>
    <row r="11" spans="2:16" ht="12.75" customHeight="1">
      <c r="B11" s="121" t="s">
        <v>144</v>
      </c>
      <c r="C11" s="498" t="s">
        <v>105</v>
      </c>
      <c r="D11" s="498"/>
      <c r="E11" s="498"/>
      <c r="F11" s="498"/>
      <c r="G11" s="498" t="s">
        <v>126</v>
      </c>
      <c r="H11" s="498"/>
      <c r="I11" s="498"/>
      <c r="J11" s="123" t="s">
        <v>127</v>
      </c>
      <c r="K11" s="487" t="s">
        <v>106</v>
      </c>
      <c r="L11" s="488"/>
      <c r="M11" s="488"/>
      <c r="N11" s="488"/>
      <c r="O11" s="488"/>
      <c r="P11" s="489"/>
    </row>
    <row r="12" spans="2:16" ht="28.5" customHeight="1">
      <c r="B12" s="122" t="s">
        <v>95</v>
      </c>
      <c r="C12" s="418" t="s">
        <v>12</v>
      </c>
      <c r="D12" s="418" t="s">
        <v>13</v>
      </c>
      <c r="E12" s="418" t="s">
        <v>14</v>
      </c>
      <c r="F12" s="418" t="s">
        <v>15</v>
      </c>
      <c r="G12" s="418" t="s">
        <v>136</v>
      </c>
      <c r="H12" s="418" t="s">
        <v>19</v>
      </c>
      <c r="I12" s="418" t="s">
        <v>20</v>
      </c>
      <c r="J12" s="123" t="s">
        <v>137</v>
      </c>
      <c r="K12" s="145" t="s">
        <v>22</v>
      </c>
      <c r="L12" s="145" t="s">
        <v>23</v>
      </c>
      <c r="M12" s="145" t="s">
        <v>24</v>
      </c>
      <c r="N12" s="145" t="s">
        <v>25</v>
      </c>
      <c r="O12" s="145" t="s">
        <v>26</v>
      </c>
      <c r="P12" s="145" t="s">
        <v>27</v>
      </c>
    </row>
    <row r="13" spans="2:16">
      <c r="B13" s="417" t="s">
        <v>145</v>
      </c>
      <c r="C13" s="212">
        <f>AVERAGE('Input sheet - RAV Gearing'!B5:D5)</f>
        <v>0.60132713208345689</v>
      </c>
      <c r="D13" s="212">
        <v>0.62621339483047</v>
      </c>
      <c r="E13" s="212">
        <f>AVERAGE('Input sheet - RAV Gearing'!B6:D6)</f>
        <v>0.6708739647940104</v>
      </c>
      <c r="F13" s="213">
        <v>0.58311506972899274</v>
      </c>
      <c r="G13" s="212">
        <v>0.51491197848351</v>
      </c>
      <c r="H13" s="212">
        <v>0.54533708794298408</v>
      </c>
      <c r="I13" s="212">
        <v>0.53148198461908447</v>
      </c>
      <c r="J13" s="129">
        <v>0.51601859817113593</v>
      </c>
      <c r="K13" s="200">
        <v>0.51867123884574373</v>
      </c>
      <c r="L13" s="200">
        <f>'Input sheet - RAV Gearing'!B12</f>
        <v>0.50876250948039214</v>
      </c>
      <c r="M13" s="200">
        <f>'Input sheet - RAV Gearing'!B13</f>
        <v>0.48810764793390465</v>
      </c>
      <c r="N13" s="200">
        <f>'Input sheet - RAV Gearing'!B14</f>
        <v>0.5998208711588533</v>
      </c>
      <c r="O13" s="200">
        <f>'Input sheet - RAV Gearing'!B15</f>
        <v>0.53031990247845118</v>
      </c>
      <c r="P13" s="200">
        <f>'Input sheet - RAV Gearing'!B16</f>
        <v>0.55619778674300069</v>
      </c>
    </row>
    <row r="14" spans="2:16">
      <c r="B14" s="130"/>
      <c r="C14" s="131"/>
      <c r="D14" s="131"/>
      <c r="E14" s="131"/>
      <c r="F14" s="132"/>
      <c r="G14" s="133"/>
      <c r="H14" s="131"/>
      <c r="I14" s="134"/>
      <c r="J14" s="135"/>
      <c r="K14" s="201"/>
      <c r="L14" s="202"/>
      <c r="M14" s="202"/>
      <c r="N14" s="202"/>
      <c r="O14" s="202"/>
      <c r="P14" s="203"/>
    </row>
    <row r="15" spans="2:16">
      <c r="B15" s="136" t="s">
        <v>146</v>
      </c>
      <c r="C15" s="212">
        <f>AVERAGE('Input sheet - RAV Gearing'!B5:F5)</f>
        <v>0.6043279838134199</v>
      </c>
      <c r="D15" s="212">
        <v>0.63118432245246825</v>
      </c>
      <c r="E15" s="212">
        <f>AVERAGE('Input sheet - RAV Gearing'!B6:F6)</f>
        <v>0.67072994247645246</v>
      </c>
      <c r="F15" s="213">
        <v>0.57356871469300152</v>
      </c>
      <c r="G15" s="212">
        <v>0.52445947306348584</v>
      </c>
      <c r="H15" s="212">
        <v>0.54390588573623477</v>
      </c>
      <c r="I15" s="212">
        <v>0.53903893680679371</v>
      </c>
      <c r="J15" s="212">
        <v>0.52377347144980257</v>
      </c>
      <c r="K15" s="200">
        <v>0.53824334780147498</v>
      </c>
      <c r="L15" s="200">
        <f>AVERAGE('Input sheet - RAV Gearing'!B12:F12)</f>
        <v>0.57139952298787855</v>
      </c>
      <c r="M15" s="200">
        <f>AVERAGE('Input sheet - RAV Gearing'!B13:F13)</f>
        <v>0.54926238819137574</v>
      </c>
      <c r="N15" s="200">
        <f>AVERAGE('Input sheet - RAV Gearing'!B14:F14)</f>
        <v>0.59999929165431065</v>
      </c>
      <c r="O15" s="200">
        <f>AVERAGE('Input sheet - RAV Gearing'!B15:F15)</f>
        <v>0.58615920258233556</v>
      </c>
      <c r="P15" s="200">
        <f>AVERAGE('Input sheet - RAV Gearing'!B16:F16)</f>
        <v>0.58265130908194285</v>
      </c>
    </row>
    <row r="16" spans="2:16">
      <c r="B16" s="137" t="s">
        <v>147</v>
      </c>
      <c r="C16" s="212">
        <v>0.6</v>
      </c>
      <c r="D16" s="212">
        <v>0.6</v>
      </c>
      <c r="E16" s="212">
        <v>0.6</v>
      </c>
      <c r="F16" s="213">
        <v>0.6</v>
      </c>
      <c r="G16" s="212">
        <v>0.55000000000000004</v>
      </c>
      <c r="H16" s="212">
        <v>0.55000000000000004</v>
      </c>
      <c r="I16" s="212">
        <v>0.55000000000000004</v>
      </c>
      <c r="J16" s="212">
        <v>0.6</v>
      </c>
      <c r="K16" s="200">
        <v>0.6</v>
      </c>
      <c r="L16" s="200">
        <v>0.6</v>
      </c>
      <c r="M16" s="200">
        <v>0.6</v>
      </c>
      <c r="N16" s="200">
        <v>0.6</v>
      </c>
      <c r="O16" s="200">
        <v>0.6</v>
      </c>
      <c r="P16" s="200">
        <v>0.6</v>
      </c>
    </row>
    <row r="17" spans="2:16">
      <c r="B17" s="138" t="s">
        <v>148</v>
      </c>
      <c r="C17" s="214">
        <f t="shared" ref="C17:P17" si="0">C15-C16</f>
        <v>4.3279838134199222E-3</v>
      </c>
      <c r="D17" s="214">
        <f t="shared" si="0"/>
        <v>3.1184322452468272E-2</v>
      </c>
      <c r="E17" s="214">
        <f t="shared" si="0"/>
        <v>7.0729942476452479E-2</v>
      </c>
      <c r="F17" s="214">
        <f t="shared" si="0"/>
        <v>-2.6431285306998453E-2</v>
      </c>
      <c r="G17" s="214">
        <f t="shared" si="0"/>
        <v>-2.5540526936514207E-2</v>
      </c>
      <c r="H17" s="214">
        <f t="shared" si="0"/>
        <v>-6.0941142637652712E-3</v>
      </c>
      <c r="I17" s="214">
        <f t="shared" si="0"/>
        <v>-1.0961063193206333E-2</v>
      </c>
      <c r="J17" s="214">
        <f t="shared" si="0"/>
        <v>-7.6226528550197403E-2</v>
      </c>
      <c r="K17" s="214">
        <f t="shared" si="0"/>
        <v>-6.1756652198524997E-2</v>
      </c>
      <c r="L17" s="214">
        <f t="shared" si="0"/>
        <v>-2.8600477012121428E-2</v>
      </c>
      <c r="M17" s="214">
        <f t="shared" si="0"/>
        <v>-5.0737611808624239E-2</v>
      </c>
      <c r="N17" s="214">
        <f t="shared" si="0"/>
        <v>-7.0834568932642838E-7</v>
      </c>
      <c r="O17" s="214">
        <f t="shared" si="0"/>
        <v>-1.3840797417664419E-2</v>
      </c>
      <c r="P17" s="214">
        <f t="shared" si="0"/>
        <v>-1.734869091805713E-2</v>
      </c>
    </row>
    <row r="18" spans="2:16">
      <c r="B18" s="139"/>
      <c r="F18" s="140"/>
      <c r="G18" s="141"/>
      <c r="I18" s="140"/>
      <c r="J18" s="137"/>
      <c r="K18" s="141"/>
      <c r="P18" s="140"/>
    </row>
    <row r="19" spans="2:16">
      <c r="B19" s="142" t="s">
        <v>149</v>
      </c>
      <c r="C19" s="492">
        <f>SUMPRODUCT(C15:F15,C8:F8)/SUM(C8:F8)</f>
        <v>0.6227020928977739</v>
      </c>
      <c r="D19" s="493"/>
      <c r="E19" s="493"/>
      <c r="F19" s="494"/>
      <c r="G19" s="493">
        <f>SUMPRODUCT(G15:I15,G8:I8)/SUM(G8:I8)</f>
        <v>0.52987047385004626</v>
      </c>
      <c r="H19" s="493"/>
      <c r="I19" s="493"/>
      <c r="J19" s="404">
        <f>SUMPRODUCT(J15,J8)/SUM(J8)</f>
        <v>0.52377347144980257</v>
      </c>
      <c r="K19" s="490">
        <f>SUMPRODUCT(K15:P15,K8:P8)/SUM(K8:P8)</f>
        <v>0.57507933172060177</v>
      </c>
      <c r="L19" s="490"/>
      <c r="M19" s="490"/>
      <c r="N19" s="490"/>
      <c r="O19" s="490"/>
      <c r="P19" s="491"/>
    </row>
    <row r="20" spans="2:16">
      <c r="B20" s="143" t="s">
        <v>150</v>
      </c>
      <c r="C20" s="495">
        <f>SUMPRODUCT(C16:F16,C8:F8)/SUM(C8:F8)</f>
        <v>0.6</v>
      </c>
      <c r="D20" s="496"/>
      <c r="E20" s="496"/>
      <c r="F20" s="497"/>
      <c r="G20" s="495">
        <f>SUMPRODUCT(G16:I16,G8:I8)/SUM(G8:I8)</f>
        <v>0.54999999999999993</v>
      </c>
      <c r="H20" s="496"/>
      <c r="I20" s="497"/>
      <c r="J20" s="144">
        <f>SUMPRODUCT(J16,J8)/SUM(J8)</f>
        <v>0.6</v>
      </c>
      <c r="K20" s="492">
        <f>SUMPRODUCT(K16:P16,K8:P8)/SUM(K8:P8)</f>
        <v>0.6</v>
      </c>
      <c r="L20" s="493"/>
      <c r="M20" s="493"/>
      <c r="N20" s="493"/>
      <c r="O20" s="493"/>
      <c r="P20" s="494"/>
    </row>
    <row r="24" spans="2:16" ht="12">
      <c r="B24" s="448" t="s">
        <v>151</v>
      </c>
    </row>
  </sheetData>
  <mergeCells count="12">
    <mergeCell ref="C11:F11"/>
    <mergeCell ref="C20:F20"/>
    <mergeCell ref="C4:F4"/>
    <mergeCell ref="G4:I4"/>
    <mergeCell ref="G11:I11"/>
    <mergeCell ref="C19:F19"/>
    <mergeCell ref="G19:I19"/>
    <mergeCell ref="K4:P4"/>
    <mergeCell ref="K11:P11"/>
    <mergeCell ref="K19:P19"/>
    <mergeCell ref="K20:P20"/>
    <mergeCell ref="G20:I20"/>
  </mergeCells>
  <pageMargins left="0.70866141732283472" right="0.70866141732283472" top="0.74803149606299213" bottom="0.74803149606299213" header="0.31496062992125984" footer="0.31496062992125984"/>
  <pageSetup paperSize="8" scale="96" orientation="landscape" r:id="rId1"/>
  <headerFooter>
    <oddFooter>&amp;C_x000D_&amp;1#&amp;"Calibri"&amp;10&amp;K000000 OFFICIAL-InternalOnly</oddFooter>
  </headerFooter>
  <ignoredErrors>
    <ignoredError sqref="C13:E13 C19:P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7" tint="0.39997558519241921"/>
  </sheetPr>
  <dimension ref="A1:I35"/>
  <sheetViews>
    <sheetView zoomScale="80" zoomScaleNormal="80" workbookViewId="0"/>
  </sheetViews>
  <sheetFormatPr defaultColWidth="9.26953125" defaultRowHeight="11.4"/>
  <cols>
    <col min="1" max="1" width="1.90625" style="104" customWidth="1"/>
    <col min="2" max="2" width="63.7265625" style="104" bestFit="1" customWidth="1"/>
    <col min="3" max="3" width="9.6328125" style="104" bestFit="1" customWidth="1"/>
    <col min="4" max="4" width="9.26953125" style="104"/>
    <col min="5" max="5" width="9.453125" style="104" bestFit="1" customWidth="1"/>
    <col min="6" max="6" width="11.08984375" style="104" customWidth="1"/>
    <col min="7" max="7" width="12.26953125" style="104" customWidth="1"/>
    <col min="8" max="8" width="9.26953125" style="104"/>
    <col min="9" max="9" width="12.26953125" style="104" customWidth="1"/>
    <col min="10" max="16384" width="9.26953125" style="104"/>
  </cols>
  <sheetData>
    <row r="1" spans="1:8" s="111" customFormat="1" ht="57" customHeight="1"/>
    <row r="2" spans="1:8">
      <c r="A2" s="175" t="s">
        <v>152</v>
      </c>
    </row>
    <row r="4" spans="1:8" s="105" customFormat="1" ht="12.75" customHeight="1">
      <c r="B4" s="450" t="str">
        <f>"Totex - RIIO-GD2 (£m, "&amp;Data!$B$4&amp;" prices)"</f>
        <v>Totex - RIIO-GD2 (£m, 2023-24 prices)</v>
      </c>
      <c r="C4" s="500" t="s">
        <v>105</v>
      </c>
      <c r="D4" s="501"/>
      <c r="E4" s="501"/>
      <c r="F4" s="501"/>
      <c r="G4" s="502"/>
    </row>
    <row r="5" spans="1:8" s="105" customFormat="1" ht="10.199999999999999">
      <c r="B5" s="450" t="s">
        <v>59</v>
      </c>
      <c r="C5" s="451" t="s">
        <v>12</v>
      </c>
      <c r="D5" s="451" t="s">
        <v>13</v>
      </c>
      <c r="E5" s="451" t="s">
        <v>14</v>
      </c>
      <c r="F5" s="451" t="s">
        <v>15</v>
      </c>
      <c r="G5" s="451" t="s">
        <v>153</v>
      </c>
    </row>
    <row r="6" spans="1:8" s="105" customFormat="1" ht="10.199999999999999">
      <c r="B6" s="452" t="s">
        <v>154</v>
      </c>
      <c r="C6" s="453">
        <f>Cadent!$K96/Data!$C$31*Data!$C$36</f>
        <v>6743.8365211361388</v>
      </c>
      <c r="D6" s="453">
        <f>NGN!$K96/Data!$C$31*Data!$C$36</f>
        <v>1495.1148436286624</v>
      </c>
      <c r="E6" s="453">
        <f>SGN!$K96/Data!$C$31*Data!$C$36</f>
        <v>3686.0651241321452</v>
      </c>
      <c r="F6" s="453">
        <f>WWU!$K96/Data!$C$31*Data!$C$36</f>
        <v>1698.0530184976501</v>
      </c>
      <c r="G6" s="454">
        <f>SUM(C6:F6)</f>
        <v>13623.069507394597</v>
      </c>
    </row>
    <row r="7" spans="1:8" s="105" customFormat="1" ht="20.399999999999999">
      <c r="B7" s="455" t="s">
        <v>155</v>
      </c>
      <c r="C7" s="453">
        <f>Cadent!$K97/Data!$C$31*Data!$C$36</f>
        <v>6325.3636009415623</v>
      </c>
      <c r="D7" s="453">
        <f>NGN!$K97/Data!$C$31*Data!$C$36</f>
        <v>1562.5577077244025</v>
      </c>
      <c r="E7" s="453">
        <f>SGN!$K97/Data!$C$31*Data!$C$36</f>
        <v>3475.4864562423113</v>
      </c>
      <c r="F7" s="453">
        <f>WWU!$K97/Data!$C$31*Data!$C$36</f>
        <v>1583.2852503283184</v>
      </c>
      <c r="G7" s="454">
        <f>SUM(C7:F7)</f>
        <v>12946.693015236593</v>
      </c>
    </row>
    <row r="8" spans="1:8" s="105" customFormat="1" ht="10.199999999999999">
      <c r="B8" s="450" t="s">
        <v>156</v>
      </c>
      <c r="C8" s="453">
        <f>Cadent!$K98/Data!$C$31*Data!$C$36</f>
        <v>-418.47292019457541</v>
      </c>
      <c r="D8" s="453">
        <f>NGN!$K98/Data!$C$31*Data!$C$36</f>
        <v>67.442864095740603</v>
      </c>
      <c r="E8" s="453">
        <f>SGN!$K98/Data!$C$31*Data!$C$36</f>
        <v>-210.57866788983404</v>
      </c>
      <c r="F8" s="453">
        <f>WWU!$K98/Data!$C$31*Data!$C$36</f>
        <v>-114.76776816933203</v>
      </c>
      <c r="G8" s="454">
        <f>G7-G6</f>
        <v>-676.37649215800411</v>
      </c>
    </row>
    <row r="9" spans="1:8" s="105" customFormat="1" ht="10.199999999999999">
      <c r="B9" s="452" t="s">
        <v>157</v>
      </c>
      <c r="C9" s="453">
        <f>Cadent!$K99/Data!$C$31*Data!$C$36</f>
        <v>0</v>
      </c>
      <c r="D9" s="453">
        <f>NGN!$K99/Data!$C$31*Data!$C$36</f>
        <v>0</v>
      </c>
      <c r="E9" s="453">
        <f>SGN!$K99/Data!$C$31*Data!$C$36</f>
        <v>3.7359689375220925E-2</v>
      </c>
      <c r="F9" s="453">
        <f>WWU!$K99/Data!$C$31*Data!$C$36</f>
        <v>0</v>
      </c>
      <c r="G9" s="454">
        <f>SUM(C9:F9)</f>
        <v>3.7359689375220925E-2</v>
      </c>
    </row>
    <row r="10" spans="1:8" s="105" customFormat="1" ht="10.199999999999999">
      <c r="B10" s="450" t="s">
        <v>158</v>
      </c>
      <c r="C10" s="453">
        <f>Cadent!$K100/Data!$C$31*Data!$C$36</f>
        <v>-418.47292019457541</v>
      </c>
      <c r="D10" s="453">
        <f>NGN!$K100/Data!$C$31*Data!$C$36</f>
        <v>67.442864095740603</v>
      </c>
      <c r="E10" s="453">
        <f>SGN!$K100/Data!$C$31*Data!$C$36</f>
        <v>-210.54130820045876</v>
      </c>
      <c r="F10" s="453">
        <f>WWU!$K100/Data!$C$31*Data!$C$36</f>
        <v>-114.76776816933203</v>
      </c>
      <c r="G10" s="454">
        <f>SUM(G8:G9)</f>
        <v>-676.33913246862892</v>
      </c>
    </row>
    <row r="11" spans="1:8" s="105" customFormat="1" ht="10.199999999999999">
      <c r="B11" s="450" t="s">
        <v>159</v>
      </c>
      <c r="C11" s="456">
        <f>C10/C7</f>
        <v>-6.6157923337764116E-2</v>
      </c>
      <c r="D11" s="456">
        <f>D10/D7</f>
        <v>4.3161838927510444E-2</v>
      </c>
      <c r="E11" s="456">
        <f>E10/E7</f>
        <v>-6.0578946530580234E-2</v>
      </c>
      <c r="F11" s="456">
        <f>F10/F7</f>
        <v>-7.2487107516180788E-2</v>
      </c>
      <c r="G11" s="457">
        <f>G10/G7</f>
        <v>-5.2240300412828566E-2</v>
      </c>
    </row>
    <row r="12" spans="1:8" s="105" customFormat="1" ht="10.199999999999999">
      <c r="C12" s="458" t="b">
        <f>C11=Cadent!$K$101</f>
        <v>1</v>
      </c>
      <c r="D12" s="458" t="b">
        <f>D11=NGN!$K$101</f>
        <v>1</v>
      </c>
      <c r="E12" s="458" t="b">
        <f>E11=SGN!$K$101</f>
        <v>1</v>
      </c>
      <c r="F12" s="458" t="b">
        <f>F11=WWU!$K$101</f>
        <v>1</v>
      </c>
    </row>
    <row r="13" spans="1:8" s="105" customFormat="1" ht="10.199999999999999"/>
    <row r="14" spans="1:8" s="105" customFormat="1" ht="10.199999999999999">
      <c r="B14" s="450" t="str">
        <f>"Totex - RIIO-T2 (£m, "&amp;Data!$B$4&amp;" prices)"</f>
        <v>Totex - RIIO-T2 (£m, 2023-24 prices)</v>
      </c>
      <c r="C14" s="500" t="s">
        <v>126</v>
      </c>
      <c r="D14" s="501"/>
      <c r="E14" s="501"/>
      <c r="F14" s="502"/>
      <c r="H14" s="451" t="s">
        <v>127</v>
      </c>
    </row>
    <row r="15" spans="1:8" s="105" customFormat="1" ht="10.199999999999999">
      <c r="B15" s="450" t="s">
        <v>59</v>
      </c>
      <c r="C15" s="451" t="s">
        <v>136</v>
      </c>
      <c r="D15" s="451" t="s">
        <v>19</v>
      </c>
      <c r="E15" s="451" t="s">
        <v>20</v>
      </c>
      <c r="F15" s="451" t="s">
        <v>160</v>
      </c>
      <c r="H15" s="451" t="s">
        <v>137</v>
      </c>
    </row>
    <row r="16" spans="1:8" s="105" customFormat="1" ht="10.199999999999999">
      <c r="B16" s="452" t="s">
        <v>154</v>
      </c>
      <c r="C16" s="453">
        <f>NGET!$K96/Data!$C$31*Data!$C$36</f>
        <v>12868.562223497627</v>
      </c>
      <c r="D16" s="453">
        <f>SPT!$K96/Data!$C$31*Data!$C$36</f>
        <v>2945.4846424196598</v>
      </c>
      <c r="E16" s="453">
        <f>SHET!$K96/Data!$C$31*Data!$C$36</f>
        <v>8097.809029259739</v>
      </c>
      <c r="F16" s="459">
        <f>SUM(C16:E16)</f>
        <v>23911.855895177025</v>
      </c>
      <c r="H16" s="453">
        <f>GT!K96/Data!$C$31*Data!$C$35</f>
        <v>2539.7884861708767</v>
      </c>
    </row>
    <row r="17" spans="2:9" s="105" customFormat="1" ht="20.399999999999999">
      <c r="B17" s="455" t="s">
        <v>155</v>
      </c>
      <c r="C17" s="453">
        <f>NGET!$K97/Data!$C$31*Data!$C$36</f>
        <v>14114.591609723047</v>
      </c>
      <c r="D17" s="453">
        <f>SPT!$K97/Data!$C$31*Data!$C$36</f>
        <v>2965.707216357438</v>
      </c>
      <c r="E17" s="453">
        <f>SHET!$K97/Data!$C$31*Data!$C$36</f>
        <v>8281.2741864170039</v>
      </c>
      <c r="F17" s="459">
        <f>SUM(C17:E17)</f>
        <v>25361.573012497487</v>
      </c>
      <c r="H17" s="453">
        <f>GT!K97/Data!$C$31*Data!$C$35</f>
        <v>2506.5499807373762</v>
      </c>
    </row>
    <row r="18" spans="2:9" s="105" customFormat="1" ht="10.199999999999999">
      <c r="B18" s="450" t="s">
        <v>156</v>
      </c>
      <c r="C18" s="453">
        <f>NGET!$K98/Data!$C$31*Data!$C$36</f>
        <v>1246.0293862254191</v>
      </c>
      <c r="D18" s="453">
        <f>SPT!$K98/Data!$C$31*Data!$C$36</f>
        <v>20.22257393777809</v>
      </c>
      <c r="E18" s="453">
        <f>SHET!$K98/Data!$C$31*Data!$C$36</f>
        <v>183.46515715726613</v>
      </c>
      <c r="F18" s="459">
        <f>F17-F16</f>
        <v>1449.7171173204624</v>
      </c>
      <c r="H18" s="453">
        <f>GT!K98/Data!$C$31*Data!$C$35</f>
        <v>-33.238505433500443</v>
      </c>
    </row>
    <row r="19" spans="2:9" s="105" customFormat="1" ht="10.199999999999999">
      <c r="B19" s="452" t="s">
        <v>157</v>
      </c>
      <c r="C19" s="453">
        <f>NGET!$K99/Data!$C$31*Data!$C$36</f>
        <v>313.23476149428535</v>
      </c>
      <c r="D19" s="453">
        <f>SPT!$K99/Data!$C$31*Data!$C$36</f>
        <v>-20.22257393777809</v>
      </c>
      <c r="E19" s="453">
        <f>SHET!$K99/Data!$C$31*Data!$C$36</f>
        <v>0</v>
      </c>
      <c r="F19" s="459">
        <f>SUM(C19:E19)</f>
        <v>293.01218755650729</v>
      </c>
      <c r="H19" s="453">
        <f>GT!K99/Data!$C$31*Data!$C$35</f>
        <v>61.951111895516988</v>
      </c>
    </row>
    <row r="20" spans="2:9" s="105" customFormat="1" ht="10.199999999999999">
      <c r="B20" s="450" t="s">
        <v>158</v>
      </c>
      <c r="C20" s="453">
        <f>NGET!$K100/Data!$C$31*Data!$C$36</f>
        <v>1559.2641477197044</v>
      </c>
      <c r="D20" s="453">
        <f>SPT!$K100/Data!$C$31*Data!$C$36</f>
        <v>0</v>
      </c>
      <c r="E20" s="453">
        <f>SHET!$K100/Data!$C$31*Data!$C$36</f>
        <v>183.46515715726613</v>
      </c>
      <c r="F20" s="459">
        <f>SUM(F18:F19)</f>
        <v>1742.7293048769698</v>
      </c>
      <c r="H20" s="453">
        <f>GT!K100/Data!$C$31*Data!$C$35</f>
        <v>28.712606462016549</v>
      </c>
    </row>
    <row r="21" spans="2:9" s="105" customFormat="1" ht="10.199999999999999">
      <c r="B21" s="450" t="s">
        <v>159</v>
      </c>
      <c r="C21" s="456">
        <f>C20/C17</f>
        <v>0.11047178627864671</v>
      </c>
      <c r="D21" s="456">
        <f>D20/D17</f>
        <v>0</v>
      </c>
      <c r="E21" s="456">
        <f>E20/E17</f>
        <v>2.2154218424283886E-2</v>
      </c>
      <c r="F21" s="456">
        <f>F20/F17</f>
        <v>6.8715347585822081E-2</v>
      </c>
      <c r="H21" s="457">
        <f>H20/H17</f>
        <v>1.1455030493176074E-2</v>
      </c>
    </row>
    <row r="22" spans="2:9" s="105" customFormat="1" ht="10.199999999999999">
      <c r="C22" s="458" t="b">
        <f>C21=NGET!K101</f>
        <v>1</v>
      </c>
      <c r="D22" s="458" t="b">
        <f>D21=SPT!K101</f>
        <v>1</v>
      </c>
      <c r="E22" s="458" t="b">
        <f>E21=SHET!K101</f>
        <v>1</v>
      </c>
      <c r="H22" s="458" t="b">
        <f>H21=GT!K101</f>
        <v>1</v>
      </c>
    </row>
    <row r="23" spans="2:9" s="105" customFormat="1" ht="10.199999999999999"/>
    <row r="24" spans="2:9" s="105" customFormat="1" ht="10.199999999999999">
      <c r="B24" s="450" t="str">
        <f>"Totex - RIIO-ED2 (£m, "&amp;Data!$B$4&amp;" prices)"</f>
        <v>Totex - RIIO-ED2 (£m, 2023-24 prices)</v>
      </c>
      <c r="C24" s="503" t="s">
        <v>106</v>
      </c>
      <c r="D24" s="503"/>
      <c r="E24" s="503"/>
      <c r="F24" s="503"/>
      <c r="G24" s="503"/>
      <c r="H24" s="503"/>
      <c r="I24" s="503"/>
    </row>
    <row r="25" spans="2:9" s="105" customFormat="1" ht="10.199999999999999">
      <c r="B25" s="450" t="s">
        <v>59</v>
      </c>
      <c r="C25" s="451" t="s">
        <v>22</v>
      </c>
      <c r="D25" s="451" t="s">
        <v>23</v>
      </c>
      <c r="E25" s="451" t="s">
        <v>24</v>
      </c>
      <c r="F25" s="451" t="s">
        <v>25</v>
      </c>
      <c r="G25" s="451" t="s">
        <v>26</v>
      </c>
      <c r="H25" s="451" t="s">
        <v>27</v>
      </c>
      <c r="I25" s="451" t="s">
        <v>161</v>
      </c>
    </row>
    <row r="26" spans="2:9" s="105" customFormat="1" ht="10.199999999999999">
      <c r="B26" s="452" t="s">
        <v>154</v>
      </c>
      <c r="C26" s="453">
        <f>ENWL!$K102/Data!$D$33*Data!$D$36</f>
        <v>2443.1646359985293</v>
      </c>
      <c r="D26" s="453">
        <f>NGED!$K96/Data!$D$33*Data!$D$36</f>
        <v>7265.3740353421244</v>
      </c>
      <c r="E26" s="453">
        <f>NPg!$K96/Data!$D$33*Data!$D$36</f>
        <v>3484.9244713882217</v>
      </c>
      <c r="F26" s="453">
        <f>SPEN!$K96/Data!$D$33*Data!$D$36</f>
        <v>4177.2524205362752</v>
      </c>
      <c r="G26" s="453">
        <f>SSE!$K96/Data!$D$33*Data!$D$36</f>
        <v>5447.9960089723008</v>
      </c>
      <c r="H26" s="453">
        <f>UKPN!$K102/Data!$D$33*Data!$D$36</f>
        <v>5859.673186363294</v>
      </c>
      <c r="I26" s="459">
        <f>SUM(C26:H26)</f>
        <v>28678.384758600747</v>
      </c>
    </row>
    <row r="27" spans="2:9" s="105" customFormat="1" ht="20.399999999999999">
      <c r="B27" s="455" t="s">
        <v>155</v>
      </c>
      <c r="C27" s="453">
        <f>ENWL!$K103/Data!$D$33*Data!$D$36</f>
        <v>2466.9559167249936</v>
      </c>
      <c r="D27" s="453">
        <f>NGED!$K97/Data!$D$33*Data!$D$36</f>
        <v>7431.7575143063068</v>
      </c>
      <c r="E27" s="453">
        <f>NPg!$K97/Data!$D$33*Data!$D$36</f>
        <v>3625.6208360195633</v>
      </c>
      <c r="F27" s="453">
        <f>SPEN!$K97/Data!$D$33*Data!$D$36</f>
        <v>4036.1916279326938</v>
      </c>
      <c r="G27" s="453">
        <f>SSE!$K97/Data!$D$33*Data!$D$36</f>
        <v>5488.8958893349709</v>
      </c>
      <c r="H27" s="453">
        <f>UKPN!$K103/Data!$D$33*Data!$D$36</f>
        <v>6306.3827598208427</v>
      </c>
      <c r="I27" s="459">
        <f>SUM(C27:H27)</f>
        <v>29355.80454413937</v>
      </c>
    </row>
    <row r="28" spans="2:9" s="105" customFormat="1" ht="10.199999999999999">
      <c r="B28" s="450" t="s">
        <v>156</v>
      </c>
      <c r="C28" s="453">
        <f>ENWL!$K104/Data!$D$33*Data!$D$36</f>
        <v>23.791280726463903</v>
      </c>
      <c r="D28" s="453">
        <f>NGED!$K98/Data!$D$33*Data!$D$36</f>
        <v>166.38347896418293</v>
      </c>
      <c r="E28" s="453">
        <f>NPg!$K98/Data!$D$33*Data!$D$36</f>
        <v>140.69636463134157</v>
      </c>
      <c r="F28" s="453">
        <f>SPEN!$K98/Data!$D$33*Data!$D$36</f>
        <v>-141.06079260358038</v>
      </c>
      <c r="G28" s="453">
        <f>SSE!$K98/Data!$D$33*Data!$D$36</f>
        <v>40.899880362669499</v>
      </c>
      <c r="H28" s="453">
        <f>UKPN!$K104/Data!$D$33*Data!$D$36</f>
        <v>446.70957345755016</v>
      </c>
      <c r="I28" s="459">
        <f>I27-I26</f>
        <v>677.41978553862282</v>
      </c>
    </row>
    <row r="29" spans="2:9" s="105" customFormat="1" ht="10.199999999999999">
      <c r="B29" s="452" t="s">
        <v>157</v>
      </c>
      <c r="C29" s="453">
        <f>ENWL!$K105/Data!$D$33*Data!$D$36</f>
        <v>-4.8504047115487071E-5</v>
      </c>
      <c r="D29" s="453">
        <f>NGED!$K99/Data!$D$33*Data!$D$36</f>
        <v>101.28133922501713</v>
      </c>
      <c r="E29" s="453">
        <f>NPg!$K99/Data!$D$33*Data!$D$36</f>
        <v>-140.67304030707535</v>
      </c>
      <c r="F29" s="453">
        <f>SPEN!$K99/Data!$D$33*Data!$D$36</f>
        <v>141.06079260358041</v>
      </c>
      <c r="G29" s="453">
        <f>SSE!$K99/Data!$D$33*Data!$D$36</f>
        <v>0</v>
      </c>
      <c r="H29" s="453">
        <f>UKPN!$K105/Data!$D$33*Data!$D$36</f>
        <v>0</v>
      </c>
      <c r="I29" s="459">
        <f>SUM(C29:H29)</f>
        <v>101.66904301747508</v>
      </c>
    </row>
    <row r="30" spans="2:9" s="105" customFormat="1" ht="10.199999999999999">
      <c r="B30" s="450" t="s">
        <v>158</v>
      </c>
      <c r="C30" s="453">
        <f>ENWL!$K106/Data!$D$33*Data!$D$36</f>
        <v>23.791232222416784</v>
      </c>
      <c r="D30" s="453">
        <f>NGED!$K100/Data!$D$33*Data!$D$36</f>
        <v>267.66481818920005</v>
      </c>
      <c r="E30" s="453">
        <f>NPg!$K100/Data!$D$33*Data!$D$36</f>
        <v>2.3324324266204819E-2</v>
      </c>
      <c r="F30" s="453">
        <f>SPEN!$K100/Data!$D$33*Data!$D$36</f>
        <v>0</v>
      </c>
      <c r="G30" s="453">
        <f>SSE!$K100/Data!$D$33*Data!$D$36</f>
        <v>40.899880362669499</v>
      </c>
      <c r="H30" s="453">
        <f>UKPN!$K106/Data!$D$33*Data!$D$36</f>
        <v>446.70957345755016</v>
      </c>
      <c r="I30" s="459">
        <f>SUM(I28:I29)</f>
        <v>779.08882855609795</v>
      </c>
    </row>
    <row r="31" spans="2:9" s="105" customFormat="1" ht="10.199999999999999">
      <c r="B31" s="450" t="s">
        <v>159</v>
      </c>
      <c r="C31" s="456">
        <f t="shared" ref="C31:I31" si="0">C30/C27</f>
        <v>9.6439632589790363E-3</v>
      </c>
      <c r="D31" s="456">
        <f t="shared" si="0"/>
        <v>3.6016355172237391E-2</v>
      </c>
      <c r="E31" s="456">
        <f t="shared" si="0"/>
        <v>6.433194567530052E-6</v>
      </c>
      <c r="F31" s="456">
        <f t="shared" si="0"/>
        <v>0</v>
      </c>
      <c r="G31" s="456">
        <f t="shared" si="0"/>
        <v>7.4513857043888819E-3</v>
      </c>
      <c r="H31" s="456">
        <f t="shared" si="0"/>
        <v>7.0834516468556485E-2</v>
      </c>
      <c r="I31" s="456">
        <f t="shared" si="0"/>
        <v>2.6539515460550927E-2</v>
      </c>
    </row>
    <row r="32" spans="2:9" s="105" customFormat="1" ht="10.199999999999999">
      <c r="C32" s="458" t="b">
        <f>C31=ENWL!$K$107</f>
        <v>1</v>
      </c>
      <c r="D32" s="458" t="b">
        <f>D31=NGED!$K$101</f>
        <v>1</v>
      </c>
      <c r="E32" s="458" t="b">
        <f>E31=NPg!$K$101</f>
        <v>1</v>
      </c>
      <c r="F32" s="458" t="b">
        <f>F31=SPEN!$K$101</f>
        <v>1</v>
      </c>
      <c r="G32" s="458" t="b">
        <f>G31=SSE!$K$101</f>
        <v>1</v>
      </c>
      <c r="H32" s="458" t="b">
        <f>H31=UKPN!$K$107</f>
        <v>1</v>
      </c>
      <c r="I32" s="458"/>
    </row>
    <row r="33" spans="5:5" s="105" customFormat="1" ht="10.199999999999999"/>
    <row r="35" spans="5:5">
      <c r="E35" s="416"/>
    </row>
  </sheetData>
  <mergeCells count="3">
    <mergeCell ref="C14:F14"/>
    <mergeCell ref="C4:G4"/>
    <mergeCell ref="C24:I24"/>
  </mergeCells>
  <pageMargins left="0.7" right="0.7" top="0.75" bottom="0.75" header="0.3" footer="0.3"/>
  <pageSetup paperSize="8" orientation="landscape" r:id="rId1"/>
  <headerFooter>
    <oddFooter>&amp;C_x000D_&amp;1#&amp;"Calibri"&amp;10&amp;K000000 OFFICIAL-InternalOnly</oddFooter>
  </headerFooter>
  <ignoredErrors>
    <ignoredError sqref="G8 F18 I2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B1:O259"/>
  <sheetViews>
    <sheetView zoomScale="80" zoomScaleNormal="80" workbookViewId="0"/>
  </sheetViews>
  <sheetFormatPr defaultColWidth="9" defaultRowHeight="12.6"/>
  <cols>
    <col min="1" max="1" width="4" style="69" customWidth="1"/>
    <col min="2" max="2" width="12.90625" style="69" customWidth="1"/>
    <col min="3" max="16384" width="9" style="69"/>
  </cols>
  <sheetData>
    <row r="1" s="67" customFormat="1" ht="71.400000000000006" customHeight="1"/>
    <row r="2" s="67" customFormat="1" ht="15.75" customHeight="1"/>
    <row r="3" s="67" customFormat="1" ht="15.75" customHeight="1"/>
    <row r="4" s="67" customFormat="1" ht="12.75" customHeight="1"/>
    <row r="5" s="67" customFormat="1" ht="12.75" customHeight="1"/>
    <row r="6" s="67" customFormat="1" ht="12.75" customHeight="1"/>
    <row r="7" s="67" customFormat="1" ht="12.75" customHeight="1"/>
    <row r="8" s="67" customFormat="1" ht="12.75" customHeight="1"/>
    <row r="9" s="67" customFormat="1" ht="12.75" customHeight="1"/>
    <row r="10" s="67" customFormat="1" ht="12.75" customHeight="1"/>
    <row r="11" s="67" customFormat="1" ht="12.75" customHeight="1"/>
    <row r="12" s="67" customFormat="1" ht="12.75" customHeight="1"/>
    <row r="13" s="67" customFormat="1" ht="12.75" customHeight="1"/>
    <row r="14" s="67" customFormat="1" ht="12.75" customHeight="1"/>
    <row r="15" s="67" customFormat="1" ht="12.75" customHeight="1"/>
    <row r="16" s="67" customFormat="1" ht="12.75" customHeight="1"/>
    <row r="17" spans="2:15" s="67" customFormat="1" ht="12.75" customHeight="1"/>
    <row r="18" spans="2:15" s="67" customFormat="1" ht="12.75" customHeight="1"/>
    <row r="19" spans="2:15" s="67" customFormat="1" ht="12.75" customHeight="1"/>
    <row r="20" spans="2:15" s="67" customFormat="1" ht="12.75" customHeight="1"/>
    <row r="21" spans="2:15">
      <c r="O21" s="68"/>
    </row>
    <row r="22" spans="2:15">
      <c r="B22" s="68"/>
      <c r="O22" s="68"/>
    </row>
    <row r="53" spans="2:2">
      <c r="B53" s="68"/>
    </row>
    <row r="55" spans="2:2">
      <c r="B55" s="68"/>
    </row>
    <row r="56" spans="2:2">
      <c r="B56" s="68"/>
    </row>
    <row r="97" spans="2:2">
      <c r="B97" s="68"/>
    </row>
    <row r="98" spans="2:2">
      <c r="B98" s="68"/>
    </row>
    <row r="136" spans="2:2">
      <c r="B136" s="68"/>
    </row>
    <row r="160" spans="2:2">
      <c r="B160" s="68"/>
    </row>
    <row r="188" spans="2:2" ht="13.8">
      <c r="B188" s="70"/>
    </row>
    <row r="190" spans="2:2">
      <c r="B190" s="68"/>
    </row>
    <row r="191" spans="2:2">
      <c r="B191" s="68"/>
    </row>
    <row r="213" spans="2:2">
      <c r="B213" s="68"/>
    </row>
    <row r="214" spans="2:2">
      <c r="B214" s="68"/>
    </row>
    <row r="236" spans="2:2">
      <c r="B236" s="68"/>
    </row>
    <row r="237" spans="2:2">
      <c r="B237" s="68"/>
    </row>
    <row r="258" spans="2:2">
      <c r="B258" s="68"/>
    </row>
    <row r="259" spans="2:2">
      <c r="B259" s="68"/>
    </row>
  </sheetData>
  <pageMargins left="0.70866141732283472" right="0.70866141732283472" top="0.74803149606299213" bottom="0.74803149606299213" header="0.31496062992125984" footer="0.31496062992125984"/>
  <pageSetup paperSize="8" scale="68" fitToHeight="5" orientation="landscape" r:id="rId1"/>
  <headerFooter>
    <oddFooter>&amp;C_x000D_&amp;1#&amp;"Calibri"&amp;10&amp;K000000 OFFICIAL-InternalOnly</oddFooter>
  </headerFooter>
  <rowBreaks count="3" manualBreakCount="3">
    <brk id="53" max="16383" man="1"/>
    <brk id="186" max="16383" man="1"/>
    <brk id="2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8411-A8C3-4EDE-99FF-8E71B24FFAE6}">
  <sheetPr>
    <tabColor theme="1"/>
  </sheetPr>
  <dimension ref="A1"/>
  <sheetViews>
    <sheetView zoomScale="80" zoomScaleNormal="80" workbookViewId="0"/>
  </sheetViews>
  <sheetFormatPr defaultColWidth="9.26953125" defaultRowHeight="12.6"/>
  <cols>
    <col min="1" max="16384" width="9.26953125" style="69"/>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5" tint="0.39997558519241921"/>
  </sheetPr>
  <dimension ref="A1:U102"/>
  <sheetViews>
    <sheetView zoomScale="80" zoomScaleNormal="80" workbookViewId="0"/>
  </sheetViews>
  <sheetFormatPr defaultRowHeight="12.6"/>
  <cols>
    <col min="1" max="1" width="7.26953125" customWidth="1"/>
    <col min="2" max="2" width="66.26953125" style="8" bestFit="1" customWidth="1"/>
    <col min="3" max="3" width="8.6328125" bestFit="1" customWidth="1"/>
    <col min="4" max="8" width="9.08984375" customWidth="1"/>
    <col min="9" max="9" width="3.6328125" customWidth="1"/>
    <col min="10" max="11" width="13.7265625" customWidth="1"/>
    <col min="12" max="12" width="9.36328125" customWidth="1"/>
  </cols>
  <sheetData>
    <row r="1" spans="1:21" s="41" customFormat="1" ht="57" customHeight="1"/>
    <row r="2" spans="1:21" ht="21">
      <c r="A2" s="419" t="s">
        <v>162</v>
      </c>
      <c r="B2" s="71"/>
      <c r="C2" s="47"/>
      <c r="D2" s="47"/>
      <c r="E2" s="47"/>
      <c r="F2" s="47"/>
      <c r="G2" s="47"/>
      <c r="H2" s="47"/>
      <c r="I2" s="49"/>
      <c r="J2" s="49"/>
      <c r="K2" s="49"/>
      <c r="L2" s="50" t="s">
        <v>30</v>
      </c>
    </row>
    <row r="3" spans="1:21" ht="21">
      <c r="A3" s="425" t="s">
        <v>105</v>
      </c>
      <c r="B3" s="1"/>
      <c r="C3" s="2"/>
      <c r="D3" s="2"/>
      <c r="E3" s="2"/>
      <c r="F3" s="2"/>
      <c r="G3" s="2"/>
      <c r="H3" s="2"/>
      <c r="I3" s="3"/>
      <c r="J3" s="3"/>
      <c r="K3" s="3"/>
      <c r="L3" s="72"/>
    </row>
    <row r="4" spans="1:21" ht="21">
      <c r="A4" s="430">
        <f>Data!B3</f>
        <v>2024</v>
      </c>
      <c r="B4" s="4"/>
      <c r="C4" s="5"/>
      <c r="D4" s="5"/>
      <c r="E4" s="5"/>
      <c r="F4" s="5"/>
      <c r="G4" s="5"/>
      <c r="H4" s="5"/>
      <c r="I4" s="6"/>
      <c r="J4" s="6"/>
      <c r="K4" s="6"/>
      <c r="L4" s="7"/>
    </row>
    <row r="5" spans="1:21" ht="12.75" customHeight="1"/>
    <row r="6" spans="1:21">
      <c r="D6" s="73" t="str">
        <f>Cadent!D6</f>
        <v>Actuals</v>
      </c>
      <c r="E6" s="74" t="str">
        <f>Cadent!E6</f>
        <v>Actuals</v>
      </c>
      <c r="F6" s="74" t="str">
        <f>Cadent!F6</f>
        <v>Actuals</v>
      </c>
      <c r="G6" s="74" t="str">
        <f>Cadent!G6</f>
        <v>Forecast</v>
      </c>
      <c r="H6" s="74" t="str">
        <f>Cadent!H6</f>
        <v>Forecast</v>
      </c>
      <c r="I6" s="9"/>
      <c r="J6" s="9"/>
    </row>
    <row r="7" spans="1:21" ht="31.5" customHeight="1">
      <c r="C7" s="10"/>
      <c r="D7" s="75">
        <v>2022</v>
      </c>
      <c r="E7" s="76">
        <v>2023</v>
      </c>
      <c r="F7" s="76">
        <v>2024</v>
      </c>
      <c r="G7" s="76">
        <v>2025</v>
      </c>
      <c r="H7" s="76">
        <v>2026</v>
      </c>
      <c r="I7" s="11"/>
      <c r="J7" s="77" t="str">
        <f>Cadent!J7</f>
        <v>Cumulative to 2024</v>
      </c>
      <c r="K7" s="78" t="str">
        <f>Cadent!K7</f>
        <v>RIIO-2 period</v>
      </c>
    </row>
    <row r="8" spans="1:21">
      <c r="C8" s="10"/>
      <c r="D8" s="10"/>
      <c r="E8" s="10"/>
      <c r="F8" s="10"/>
      <c r="G8" s="10"/>
      <c r="H8" s="10"/>
      <c r="I8" s="10"/>
      <c r="J8" s="10"/>
      <c r="K8" s="10"/>
      <c r="L8" s="10"/>
    </row>
    <row r="9" spans="1:21">
      <c r="B9" s="12" t="s">
        <v>56</v>
      </c>
      <c r="C9" s="13"/>
      <c r="D9" s="13"/>
      <c r="E9" s="13"/>
      <c r="F9" s="13"/>
      <c r="G9" s="13"/>
      <c r="H9" s="13"/>
      <c r="I9" s="14"/>
      <c r="J9" s="13"/>
      <c r="K9" s="13"/>
      <c r="L9" s="13"/>
    </row>
    <row r="10" spans="1:21">
      <c r="B10" s="15"/>
      <c r="I10" s="11"/>
    </row>
    <row r="11" spans="1:21">
      <c r="B11" s="16" t="s">
        <v>107</v>
      </c>
      <c r="C11" s="63" t="s">
        <v>163</v>
      </c>
      <c r="D11" s="52">
        <f t="shared" ref="D11:H19" si="0">D65/D$90</f>
        <v>4.5181881000000007E-2</v>
      </c>
      <c r="E11" s="53">
        <f t="shared" si="0"/>
        <v>4.5568105000000005E-2</v>
      </c>
      <c r="F11" s="53">
        <f t="shared" si="0"/>
        <v>5.2833943999999994E-2</v>
      </c>
      <c r="G11" s="53">
        <f t="shared" si="0"/>
        <v>5.5875458000000003E-2</v>
      </c>
      <c r="H11" s="53">
        <f t="shared" si="0"/>
        <v>5.5175426999999985E-2</v>
      </c>
      <c r="I11" s="17"/>
      <c r="J11" s="52">
        <f>AVERAGE(D65:INDEX(D65:H65,0,MATCH(Data!$B$3,$D$7:$H$7,0)))/AVERAGE($D$90:INDEX($D$90:$H$90,0,MATCH(Data!$B$3,$D$7:$H$7,0)))</f>
        <v>4.7883427714724203E-2</v>
      </c>
      <c r="K11" s="54">
        <f t="shared" ref="K11:K19" si="1">AVERAGE(D65:H65)/AVERAGE($D$90:$H$90)</f>
        <v>5.0985137943241304E-2</v>
      </c>
      <c r="M11" s="17"/>
      <c r="N11" s="17"/>
      <c r="O11" s="17"/>
      <c r="P11" s="17"/>
      <c r="Q11" s="17"/>
      <c r="R11" s="245"/>
      <c r="T11" s="17"/>
      <c r="U11" s="245"/>
    </row>
    <row r="12" spans="1:21">
      <c r="B12" s="16" t="s">
        <v>108</v>
      </c>
      <c r="C12" s="63" t="s">
        <v>163</v>
      </c>
      <c r="D12" s="18">
        <f t="shared" si="0"/>
        <v>1.1709472185664867E-2</v>
      </c>
      <c r="E12" s="19">
        <f t="shared" si="0"/>
        <v>-6.9709192120037997E-5</v>
      </c>
      <c r="F12" s="19">
        <f t="shared" si="0"/>
        <v>-1.181491182273771E-2</v>
      </c>
      <c r="G12" s="19">
        <f t="shared" si="0"/>
        <v>-2.0882291906254975E-2</v>
      </c>
      <c r="H12" s="19">
        <f t="shared" si="0"/>
        <v>-1.2498308575893437E-2</v>
      </c>
      <c r="I12" s="17"/>
      <c r="J12" s="52">
        <f>AVERAGE(D66:INDEX(D66:H66,0,MATCH(Data!$B$3,$D$7:$H$7,0)))/AVERAGE($D$90:INDEX($D$90:$H$90,0,MATCH(Data!$B$3,$D$7:$H$7,0)))</f>
        <v>-1.2708104573760411E-4</v>
      </c>
      <c r="K12" s="54">
        <f t="shared" si="1"/>
        <v>-6.8418825219951863E-3</v>
      </c>
      <c r="M12" s="17"/>
      <c r="N12" s="17"/>
      <c r="O12" s="17"/>
      <c r="P12" s="17"/>
      <c r="Q12" s="17"/>
      <c r="R12" s="245"/>
      <c r="T12" s="17"/>
      <c r="U12" s="245"/>
    </row>
    <row r="13" spans="1:21">
      <c r="B13" s="16" t="s">
        <v>109</v>
      </c>
      <c r="C13" s="63" t="s">
        <v>163</v>
      </c>
      <c r="D13" s="18">
        <f t="shared" si="0"/>
        <v>1.758887599984372E-4</v>
      </c>
      <c r="E13" s="19">
        <f t="shared" si="0"/>
        <v>1.7429565605482048E-4</v>
      </c>
      <c r="F13" s="19">
        <f t="shared" si="0"/>
        <v>1.7283339311599939E-4</v>
      </c>
      <c r="G13" s="19">
        <f t="shared" si="0"/>
        <v>1.7100880057242397E-4</v>
      </c>
      <c r="H13" s="19">
        <f t="shared" si="0"/>
        <v>1.6910281203296016E-4</v>
      </c>
      <c r="I13" s="17"/>
      <c r="J13" s="52">
        <f>AVERAGE(D67:INDEX(D67:H67,0,MATCH(Data!$B$3,$D$7:$H$7,0)))/AVERAGE($D$90:INDEX($D$90:$H$90,0,MATCH(Data!$B$3,$D$7:$H$7,0)))</f>
        <v>1.7433034296199368E-4</v>
      </c>
      <c r="K13" s="54">
        <f t="shared" si="1"/>
        <v>1.7259279761732462E-4</v>
      </c>
      <c r="M13" s="17"/>
      <c r="N13" s="17"/>
      <c r="O13" s="17"/>
      <c r="P13" s="17"/>
      <c r="Q13" s="17"/>
      <c r="R13" s="245"/>
      <c r="T13" s="17"/>
      <c r="U13" s="245"/>
    </row>
    <row r="14" spans="1:21">
      <c r="B14" s="16" t="s">
        <v>164</v>
      </c>
      <c r="C14" s="63" t="s">
        <v>163</v>
      </c>
      <c r="D14" s="18">
        <f t="shared" si="0"/>
        <v>9.6606685634166264E-4</v>
      </c>
      <c r="E14" s="19">
        <f t="shared" si="0"/>
        <v>1.2086037879514228E-3</v>
      </c>
      <c r="F14" s="19">
        <f t="shared" si="0"/>
        <v>1.546012902701619E-3</v>
      </c>
      <c r="G14" s="19">
        <f t="shared" si="0"/>
        <v>1.2883132979098215E-3</v>
      </c>
      <c r="H14" s="19">
        <f t="shared" si="0"/>
        <v>1.3341963958149038E-3</v>
      </c>
      <c r="I14" s="17"/>
      <c r="J14" s="52">
        <f>AVERAGE(D68:INDEX(D68:H68,0,MATCH(Data!$B$3,$D$7:$H$7,0)))/AVERAGE($D$90:INDEX($D$90:$H$90,0,MATCH(Data!$B$3,$D$7:$H$7,0)))</f>
        <v>1.2419182870262459E-3</v>
      </c>
      <c r="K14" s="54">
        <f t="shared" si="1"/>
        <v>1.2701197509175774E-3</v>
      </c>
      <c r="M14" s="17"/>
      <c r="N14" s="17"/>
      <c r="O14" s="17"/>
      <c r="P14" s="17"/>
      <c r="Q14" s="17"/>
      <c r="R14" s="245"/>
      <c r="T14" s="17"/>
      <c r="U14" s="245"/>
    </row>
    <row r="15" spans="1:21">
      <c r="B15" s="16" t="s">
        <v>165</v>
      </c>
      <c r="C15" s="63" t="s">
        <v>163</v>
      </c>
      <c r="D15" s="18">
        <f t="shared" si="0"/>
        <v>0</v>
      </c>
      <c r="E15" s="19">
        <f t="shared" si="0"/>
        <v>0</v>
      </c>
      <c r="F15" s="19">
        <f t="shared" si="0"/>
        <v>0</v>
      </c>
      <c r="G15" s="19">
        <f t="shared" si="0"/>
        <v>0</v>
      </c>
      <c r="H15" s="19">
        <f t="shared" si="0"/>
        <v>0</v>
      </c>
      <c r="I15" s="17"/>
      <c r="J15" s="52">
        <f>AVERAGE(D69:INDEX(D69:H69,0,MATCH(Data!$B$3,$D$7:$H$7,0)))/AVERAGE($D$90:INDEX($D$90:$H$90,0,MATCH(Data!$B$3,$D$7:$H$7,0)))</f>
        <v>0</v>
      </c>
      <c r="K15" s="54">
        <f t="shared" si="1"/>
        <v>0</v>
      </c>
    </row>
    <row r="16" spans="1:21">
      <c r="B16" s="16" t="s">
        <v>166</v>
      </c>
      <c r="C16" s="63" t="s">
        <v>163</v>
      </c>
      <c r="D16" s="18">
        <f t="shared" si="0"/>
        <v>0</v>
      </c>
      <c r="E16" s="19">
        <f t="shared" si="0"/>
        <v>-1.8583421591817506E-4</v>
      </c>
      <c r="F16" s="19">
        <f t="shared" si="0"/>
        <v>-3.8427343483208459E-4</v>
      </c>
      <c r="G16" s="19">
        <f t="shared" si="0"/>
        <v>0</v>
      </c>
      <c r="H16" s="19">
        <f t="shared" si="0"/>
        <v>0</v>
      </c>
      <c r="I16" s="17"/>
      <c r="J16" s="52">
        <f>AVERAGE(D70:INDEX(D70:H70,0,MATCH(Data!$B$3,$D$7:$H$7,0)))/AVERAGE($D$90:INDEX($D$90:$H$90,0,MATCH(Data!$B$3,$D$7:$H$7,0)))</f>
        <v>-1.9115763824670948E-4</v>
      </c>
      <c r="K16" s="54">
        <f t="shared" si="1"/>
        <v>-1.1355142545017376E-4</v>
      </c>
    </row>
    <row r="17" spans="2:11">
      <c r="B17" s="16" t="s">
        <v>167</v>
      </c>
      <c r="C17" s="63" t="s">
        <v>163</v>
      </c>
      <c r="D17" s="18">
        <f t="shared" si="0"/>
        <v>0</v>
      </c>
      <c r="E17" s="19">
        <f t="shared" si="0"/>
        <v>0</v>
      </c>
      <c r="F17" s="19">
        <f t="shared" si="0"/>
        <v>0</v>
      </c>
      <c r="G17" s="19">
        <f t="shared" si="0"/>
        <v>0</v>
      </c>
      <c r="H17" s="19">
        <f t="shared" si="0"/>
        <v>0</v>
      </c>
      <c r="I17" s="17"/>
      <c r="J17" s="52">
        <f>AVERAGE(D71:INDEX(D71:H71,0,MATCH(Data!$B$3,$D$7:$H$7,0)))/AVERAGE($D$90:INDEX($D$90:$H$90,0,MATCH(Data!$B$3,$D$7:$H$7,0)))</f>
        <v>0</v>
      </c>
      <c r="K17" s="54">
        <f t="shared" si="1"/>
        <v>0</v>
      </c>
    </row>
    <row r="18" spans="2:11">
      <c r="B18" s="16" t="s">
        <v>168</v>
      </c>
      <c r="C18" s="63" t="s">
        <v>163</v>
      </c>
      <c r="D18" s="18">
        <f t="shared" si="0"/>
        <v>1.4445880518557547E-4</v>
      </c>
      <c r="E18" s="19">
        <f t="shared" si="0"/>
        <v>2.8235882961604613E-4</v>
      </c>
      <c r="F18" s="19">
        <f t="shared" si="0"/>
        <v>1.5317417638619689E-4</v>
      </c>
      <c r="G18" s="19">
        <f t="shared" si="0"/>
        <v>3.6773826216312395E-5</v>
      </c>
      <c r="H18" s="19">
        <f t="shared" si="0"/>
        <v>3.2180410096451481E-5</v>
      </c>
      <c r="I18" s="17"/>
      <c r="J18" s="52">
        <f>AVERAGE(D72:INDEX(D72:H72,0,MATCH(Data!$B$3,$D$7:$H$7,0)))/AVERAGE($D$90:INDEX($D$90:$H$90,0,MATCH(Data!$B$3,$D$7:$H$7,0)))</f>
        <v>1.9336491359002529E-4</v>
      </c>
      <c r="K18" s="54">
        <f t="shared" si="1"/>
        <v>1.2885439217836519E-4</v>
      </c>
    </row>
    <row r="19" spans="2:11">
      <c r="B19" s="16" t="s">
        <v>169</v>
      </c>
      <c r="C19" s="63" t="s">
        <v>163</v>
      </c>
      <c r="D19" s="18">
        <f t="shared" si="0"/>
        <v>2.8257926485406298E-4</v>
      </c>
      <c r="E19" s="19">
        <f t="shared" si="0"/>
        <v>3.0951227770672162E-4</v>
      </c>
      <c r="F19" s="19">
        <f t="shared" si="0"/>
        <v>2.7767057525100708E-4</v>
      </c>
      <c r="G19" s="19">
        <f t="shared" si="0"/>
        <v>1.6086090371038815E-4</v>
      </c>
      <c r="H19" s="19">
        <f t="shared" si="0"/>
        <v>1.5906801914600607E-4</v>
      </c>
      <c r="I19" s="17"/>
      <c r="J19" s="52">
        <f>AVERAGE(D73:INDEX(D73:H73,0,MATCH(Data!$B$3,$D$7:$H$7,0)))/AVERAGE($D$90:INDEX($D$90:$H$90,0,MATCH(Data!$B$3,$D$7:$H$7,0)))</f>
        <v>2.8990832083654723E-4</v>
      </c>
      <c r="K19" s="54">
        <f t="shared" si="1"/>
        <v>2.371516496127523E-4</v>
      </c>
    </row>
    <row r="20" spans="2:11">
      <c r="B20" s="16" t="s">
        <v>118</v>
      </c>
      <c r="C20" s="63" t="s">
        <v>163</v>
      </c>
      <c r="D20" s="18">
        <f t="shared" ref="D20:H20" si="2">D74/D$90</f>
        <v>-1.4707748585226428E-4</v>
      </c>
      <c r="E20" s="19">
        <f t="shared" si="2"/>
        <v>-2.0035390683631926E-4</v>
      </c>
      <c r="F20" s="19">
        <f t="shared" si="2"/>
        <v>-2.5871111222630237E-4</v>
      </c>
      <c r="G20" s="19">
        <f t="shared" si="2"/>
        <v>-4.7408403813130898E-4</v>
      </c>
      <c r="H20" s="19">
        <f t="shared" si="2"/>
        <v>-4.6049068367154839E-4</v>
      </c>
      <c r="I20" s="17"/>
      <c r="J20" s="52">
        <f>AVERAGE(D74:INDEX(D74:H74,0,MATCH(Data!$B$3,$D$7:$H$7,0)))/AVERAGE($D$90:INDEX($D$90:$H$90,0,MATCH(Data!$B$3,$D$7:$H$7,0)))</f>
        <v>-2.0237333070636054E-4</v>
      </c>
      <c r="K20" s="54">
        <f t="shared" ref="K20:K22" si="3">AVERAGE(D74:H74)/AVERAGE($D$90:$H$90)</f>
        <v>-3.0990771370833603E-4</v>
      </c>
    </row>
    <row r="21" spans="2:11">
      <c r="B21" s="16" t="s">
        <v>119</v>
      </c>
      <c r="C21" s="63" t="s">
        <v>163</v>
      </c>
      <c r="D21" s="18">
        <f t="shared" ref="D21:H21" si="4">D75/D$90</f>
        <v>-7.7356084017926781E-5</v>
      </c>
      <c r="E21" s="19">
        <f t="shared" si="4"/>
        <v>0</v>
      </c>
      <c r="F21" s="19">
        <f t="shared" si="4"/>
        <v>0</v>
      </c>
      <c r="G21" s="19">
        <f t="shared" si="4"/>
        <v>0</v>
      </c>
      <c r="H21" s="19">
        <f t="shared" si="4"/>
        <v>0</v>
      </c>
      <c r="I21" s="17"/>
      <c r="J21" s="52">
        <f>AVERAGE(D75:INDEX(D75:H75,0,MATCH(Data!$B$3,$D$7:$H$7,0)))/AVERAGE($D$90:INDEX($D$90:$H$90,0,MATCH(Data!$B$3,$D$7:$H$7,0)))</f>
        <v>-2.5556896789315013E-5</v>
      </c>
      <c r="K21" s="54">
        <f t="shared" si="3"/>
        <v>-1.5181303175363138E-5</v>
      </c>
    </row>
    <row r="22" spans="2:11">
      <c r="B22" s="16" t="s">
        <v>120</v>
      </c>
      <c r="C22" s="63" t="s">
        <v>163</v>
      </c>
      <c r="D22" s="18">
        <f t="shared" ref="D22:H22" si="5">D76/D$90</f>
        <v>0</v>
      </c>
      <c r="E22" s="19">
        <f t="shared" si="5"/>
        <v>-1.4457706802133006E-6</v>
      </c>
      <c r="F22" s="19">
        <f t="shared" si="5"/>
        <v>-6.7119750307147591E-6</v>
      </c>
      <c r="G22" s="19">
        <f t="shared" si="5"/>
        <v>0</v>
      </c>
      <c r="H22" s="19">
        <f t="shared" si="5"/>
        <v>0</v>
      </c>
      <c r="I22" s="17"/>
      <c r="J22" s="52">
        <f>AVERAGE(D76:INDEX(D76:H76,0,MATCH(Data!$B$3,$D$7:$H$7,0)))/AVERAGE($D$90:INDEX($D$90:$H$90,0,MATCH(Data!$B$3,$D$7:$H$7,0)))</f>
        <v>-2.738722466314971E-6</v>
      </c>
      <c r="K22" s="54">
        <f t="shared" si="3"/>
        <v>-1.6268554205567227E-6</v>
      </c>
    </row>
    <row r="23" spans="2:11">
      <c r="B23" s="16" t="s">
        <v>170</v>
      </c>
      <c r="C23" s="63" t="s">
        <v>163</v>
      </c>
      <c r="D23" s="18">
        <f t="shared" ref="D23:H23" si="6">D77/D$90</f>
        <v>-1.4429694145045912E-4</v>
      </c>
      <c r="E23" s="19">
        <f t="shared" si="6"/>
        <v>-1.5184786508656489E-4</v>
      </c>
      <c r="F23" s="19">
        <f t="shared" si="6"/>
        <v>0</v>
      </c>
      <c r="G23" s="19">
        <f t="shared" si="6"/>
        <v>0</v>
      </c>
      <c r="H23" s="19">
        <f t="shared" si="6"/>
        <v>0</v>
      </c>
      <c r="I23" s="17"/>
      <c r="J23" s="52">
        <f>AVERAGE(D77:INDEX(D77:H77,0,MATCH(Data!$B$3,$D$7:$H$7,0)))/AVERAGE($D$90:INDEX($D$90:$H$90,0,MATCH(Data!$B$3,$D$7:$H$7,0)))</f>
        <v>-9.829884006615901E-5</v>
      </c>
      <c r="K23" s="54">
        <f t="shared" ref="K23:K28" si="7">AVERAGE(D77:H77)/AVERAGE($D$90:$H$90)</f>
        <v>-5.8391459070054435E-5</v>
      </c>
    </row>
    <row r="24" spans="2:11">
      <c r="B24" s="16" t="s">
        <v>171</v>
      </c>
      <c r="C24" s="63" t="s">
        <v>163</v>
      </c>
      <c r="D24" s="18">
        <f t="shared" ref="D24:H24" si="8">D78/D$90</f>
        <v>0</v>
      </c>
      <c r="E24" s="19">
        <f t="shared" si="8"/>
        <v>-6.7602809121501971E-5</v>
      </c>
      <c r="F24" s="19">
        <f t="shared" si="8"/>
        <v>0</v>
      </c>
      <c r="G24" s="19">
        <f t="shared" si="8"/>
        <v>0</v>
      </c>
      <c r="H24" s="19">
        <f t="shared" si="8"/>
        <v>0</v>
      </c>
      <c r="I24" s="17"/>
      <c r="J24" s="52">
        <f>AVERAGE(D78:INDEX(D78:H78,0,MATCH(Data!$B$3,$D$7:$H$7,0)))/AVERAGE($D$90:INDEX($D$90:$H$90,0,MATCH(Data!$B$3,$D$7:$H$7,0)))</f>
        <v>-2.2538754294673637E-5</v>
      </c>
      <c r="K24" s="54">
        <f t="shared" si="7"/>
        <v>-1.3388466720478914E-5</v>
      </c>
    </row>
    <row r="25" spans="2:11">
      <c r="B25" s="16" t="s">
        <v>172</v>
      </c>
      <c r="C25" s="63" t="s">
        <v>163</v>
      </c>
      <c r="D25" s="18">
        <f t="shared" ref="D25:H25" si="9">D79/D$90</f>
        <v>0</v>
      </c>
      <c r="E25" s="19">
        <f t="shared" si="9"/>
        <v>0</v>
      </c>
      <c r="F25" s="19">
        <f t="shared" si="9"/>
        <v>0</v>
      </c>
      <c r="G25" s="19">
        <f t="shared" si="9"/>
        <v>0</v>
      </c>
      <c r="H25" s="19">
        <f t="shared" si="9"/>
        <v>0</v>
      </c>
      <c r="I25" s="17"/>
      <c r="J25" s="52">
        <f>AVERAGE(D79:INDEX(D79:H79,0,MATCH(Data!$B$3,$D$7:$H$7,0)))/AVERAGE($D$90:INDEX($D$90:$H$90,0,MATCH(Data!$B$3,$D$7:$H$7,0)))</f>
        <v>0</v>
      </c>
      <c r="K25" s="54">
        <f t="shared" si="7"/>
        <v>0</v>
      </c>
    </row>
    <row r="26" spans="2:11">
      <c r="B26" s="16" t="s">
        <v>172</v>
      </c>
      <c r="C26" s="63" t="s">
        <v>163</v>
      </c>
      <c r="D26" s="18">
        <f t="shared" ref="D26:H26" si="10">D80/D$90</f>
        <v>0</v>
      </c>
      <c r="E26" s="19">
        <f t="shared" si="10"/>
        <v>0</v>
      </c>
      <c r="F26" s="19">
        <f t="shared" si="10"/>
        <v>0</v>
      </c>
      <c r="G26" s="19">
        <f t="shared" si="10"/>
        <v>0</v>
      </c>
      <c r="H26" s="19">
        <f t="shared" si="10"/>
        <v>0</v>
      </c>
      <c r="I26" s="17"/>
      <c r="J26" s="52">
        <f>AVERAGE(D80:INDEX(D80:H80,0,MATCH(Data!$B$3,$D$7:$H$7,0)))/AVERAGE($D$90:INDEX($D$90:$H$90,0,MATCH(Data!$B$3,$D$7:$H$7,0)))</f>
        <v>0</v>
      </c>
      <c r="K26" s="54">
        <f t="shared" si="7"/>
        <v>0</v>
      </c>
    </row>
    <row r="27" spans="2:11">
      <c r="B27" s="16" t="s">
        <v>172</v>
      </c>
      <c r="C27" s="63" t="s">
        <v>163</v>
      </c>
      <c r="D27" s="18">
        <f t="shared" ref="D27:H27" si="11">D81/D$90</f>
        <v>0</v>
      </c>
      <c r="E27" s="19">
        <f t="shared" si="11"/>
        <v>0</v>
      </c>
      <c r="F27" s="19">
        <f t="shared" si="11"/>
        <v>0</v>
      </c>
      <c r="G27" s="19">
        <f t="shared" si="11"/>
        <v>0</v>
      </c>
      <c r="H27" s="19">
        <f t="shared" si="11"/>
        <v>0</v>
      </c>
      <c r="I27" s="17"/>
      <c r="J27" s="52">
        <f>AVERAGE(D81:INDEX(D81:H81,0,MATCH(Data!$B$3,$D$7:$H$7,0)))/AVERAGE($D$90:INDEX($D$90:$H$90,0,MATCH(Data!$B$3,$D$7:$H$7,0)))</f>
        <v>0</v>
      </c>
      <c r="K27" s="54">
        <f t="shared" si="7"/>
        <v>0</v>
      </c>
    </row>
    <row r="28" spans="2:11">
      <c r="B28" s="16" t="s">
        <v>121</v>
      </c>
      <c r="C28" s="63" t="s">
        <v>163</v>
      </c>
      <c r="D28" s="18">
        <f t="shared" ref="D28:H28" si="12">D82/D$90</f>
        <v>-7.2665758829401335E-4</v>
      </c>
      <c r="E28" s="19">
        <f t="shared" si="12"/>
        <v>-1.0181008433653679E-3</v>
      </c>
      <c r="F28" s="19">
        <f t="shared" si="12"/>
        <v>-9.4594869152595743E-4</v>
      </c>
      <c r="G28" s="19">
        <f t="shared" si="12"/>
        <v>-3.4129461037970854E-4</v>
      </c>
      <c r="H28" s="19">
        <f t="shared" si="12"/>
        <v>-3.3236222682880991E-4</v>
      </c>
      <c r="I28" s="17"/>
      <c r="J28" s="52">
        <f>AVERAGE(D82:INDEX(D82:H82,0,MATCH(Data!$B$3,$D$7:$H$7,0)))/AVERAGE($D$90:INDEX($D$90:$H$90,0,MATCH(Data!$B$3,$D$7:$H$7,0)))</f>
        <v>-8.9755481821208224E-4</v>
      </c>
      <c r="K28" s="54">
        <f t="shared" si="7"/>
        <v>-6.6990085125075355E-4</v>
      </c>
    </row>
    <row r="29" spans="2:11">
      <c r="B29" s="20" t="s">
        <v>122</v>
      </c>
      <c r="C29" s="63" t="s">
        <v>163</v>
      </c>
      <c r="D29" s="55">
        <f t="shared" ref="D29:H29" si="13">SUM(D11:D28)</f>
        <v>5.7364958772429954E-2</v>
      </c>
      <c r="E29" s="56">
        <f t="shared" si="13"/>
        <v>4.5847980948200848E-2</v>
      </c>
      <c r="F29" s="56">
        <f t="shared" si="13"/>
        <v>4.1573078011102056E-2</v>
      </c>
      <c r="G29" s="56">
        <f t="shared" si="13"/>
        <v>3.5834744273642957E-2</v>
      </c>
      <c r="H29" s="56">
        <f t="shared" si="13"/>
        <v>4.3578813150696512E-2</v>
      </c>
      <c r="I29" s="21"/>
      <c r="J29" s="57">
        <f>SUM(J11:J28)</f>
        <v>4.8215649532619795E-2</v>
      </c>
      <c r="K29" s="79">
        <f>SUM(K11:K28)</f>
        <v>4.4770025936776425E-2</v>
      </c>
    </row>
    <row r="30" spans="2:11">
      <c r="B30" s="16" t="s">
        <v>123</v>
      </c>
      <c r="C30" s="63" t="s">
        <v>163</v>
      </c>
      <c r="D30" s="18">
        <f>(D84)/D$90</f>
        <v>2.1555351969494572E-2</v>
      </c>
      <c r="E30" s="19">
        <f t="shared" ref="E30:H30" si="14">(E84)/E$90</f>
        <v>5.2025108793798264E-2</v>
      </c>
      <c r="F30" s="19">
        <f t="shared" si="14"/>
        <v>3.3235218702022652E-2</v>
      </c>
      <c r="G30" s="19">
        <f t="shared" si="14"/>
        <v>9.6106720055872744E-3</v>
      </c>
      <c r="H30" s="19">
        <f t="shared" si="14"/>
        <v>-2.173416882095706E-3</v>
      </c>
      <c r="I30" s="17"/>
      <c r="J30" s="52">
        <f>AVERAGE(D84:INDEX(D84:H84,0,MATCH(Data!$B$3,$D$7:$H$7,0)))/AVERAGE($D$90:INDEX($D$90:$H$90,0,MATCH(Data!$B$3,$D$7:$H$7,0)))</f>
        <v>3.5640968442129523E-2</v>
      </c>
      <c r="K30" s="54">
        <f>AVERAGE(D84:H84)/AVERAGE($D$90:$H$90)</f>
        <v>2.2667725588460363E-2</v>
      </c>
    </row>
    <row r="31" spans="2:11">
      <c r="B31" s="16" t="s">
        <v>124</v>
      </c>
      <c r="C31" s="63" t="s">
        <v>163</v>
      </c>
      <c r="D31" s="18">
        <f>(D86)/D$90</f>
        <v>4.3942768529547111E-3</v>
      </c>
      <c r="E31" s="19">
        <f t="shared" ref="E31:H31" si="15">(E86)/E$90</f>
        <v>6.9045166249705929E-4</v>
      </c>
      <c r="F31" s="19">
        <f t="shared" si="15"/>
        <v>-1.9629255760684797E-3</v>
      </c>
      <c r="G31" s="19">
        <f t="shared" si="15"/>
        <v>1.1522538469462424E-2</v>
      </c>
      <c r="H31" s="19">
        <f t="shared" si="15"/>
        <v>3.5778717279165277E-3</v>
      </c>
      <c r="I31" s="17"/>
      <c r="J31" s="52">
        <f>AVERAGE(D86:INDEX(D86:H86,0,MATCH(Data!$B$3,$D$7:$H$7,0)))/AVERAGE($D$90:INDEX($D$90:$H$90,0,MATCH(Data!$B$3,$D$7:$H$7,0)))</f>
        <v>1.0220015463128316E-3</v>
      </c>
      <c r="K31" s="54">
        <f>AVERAGE(D86:H86)/AVERAGE($D$90:$H$90)</f>
        <v>3.6632852921014963E-3</v>
      </c>
    </row>
    <row r="32" spans="2:11">
      <c r="B32" s="20" t="s">
        <v>125</v>
      </c>
      <c r="C32" s="63" t="s">
        <v>163</v>
      </c>
      <c r="D32" s="57">
        <f>SUM(D29:D31)</f>
        <v>8.3314587594879239E-2</v>
      </c>
      <c r="E32" s="58">
        <f t="shared" ref="E32:H32" si="16">SUM(E29:E31)</f>
        <v>9.8563541404496177E-2</v>
      </c>
      <c r="F32" s="58">
        <f t="shared" si="16"/>
        <v>7.2845371137056233E-2</v>
      </c>
      <c r="G32" s="58">
        <f t="shared" si="16"/>
        <v>5.6967954748692658E-2</v>
      </c>
      <c r="H32" s="58">
        <f t="shared" si="16"/>
        <v>4.4983267996517334E-2</v>
      </c>
      <c r="I32" s="21"/>
      <c r="J32" s="57">
        <f>SUM(J29:J31)</f>
        <v>8.4878619521062154E-2</v>
      </c>
      <c r="K32" s="79">
        <f>SUM(K29:K31)</f>
        <v>7.1101036817338287E-2</v>
      </c>
    </row>
    <row r="36" spans="2:13">
      <c r="B36" s="12" t="s">
        <v>57</v>
      </c>
      <c r="C36" s="13"/>
      <c r="D36" s="13"/>
      <c r="E36" s="13"/>
      <c r="F36" s="13"/>
      <c r="G36" s="13"/>
      <c r="H36" s="13"/>
      <c r="I36" s="14"/>
      <c r="J36" s="13"/>
      <c r="K36" s="13"/>
      <c r="L36" s="13"/>
    </row>
    <row r="37" spans="2:13">
      <c r="B37" s="15"/>
      <c r="I37" s="11"/>
    </row>
    <row r="38" spans="2:13">
      <c r="B38" s="16" t="s">
        <v>107</v>
      </c>
      <c r="C38" s="63" t="s">
        <v>163</v>
      </c>
      <c r="D38" s="18">
        <f t="shared" ref="D38:H46" si="17">D65/D$91</f>
        <v>5.0896077635829706E-2</v>
      </c>
      <c r="E38" s="19">
        <f t="shared" si="17"/>
        <v>4.7880745679594966E-2</v>
      </c>
      <c r="F38" s="19">
        <f t="shared" si="17"/>
        <v>5.2998535487666996E-2</v>
      </c>
      <c r="G38" s="19">
        <f t="shared" si="17"/>
        <v>5.7920870420928125E-2</v>
      </c>
      <c r="H38" s="19">
        <f t="shared" si="17"/>
        <v>6.028595856357763E-2</v>
      </c>
      <c r="I38" s="17"/>
      <c r="J38" s="52">
        <f>AVERAGE(D65:INDEX(D65:H65,0,MATCH(Data!$B$3,$D$7:$H$7,0)))/AVERAGE($D$91:INDEX($D$91:$H$91,0,MATCH(Data!$B$3,$D$7:$H$7,0)))</f>
        <v>5.0629561655013235E-2</v>
      </c>
      <c r="K38" s="54">
        <f t="shared" ref="K38:K46" si="18">AVERAGE(D65:H65)/AVERAGE($D$91:$H$91)</f>
        <v>5.4047002653175344E-2</v>
      </c>
      <c r="M38" s="22"/>
    </row>
    <row r="39" spans="2:13">
      <c r="B39" s="16" t="s">
        <v>108</v>
      </c>
      <c r="C39" s="63" t="s">
        <v>163</v>
      </c>
      <c r="D39" s="18">
        <f t="shared" si="17"/>
        <v>1.3190380573933775E-2</v>
      </c>
      <c r="E39" s="19">
        <f t="shared" si="17"/>
        <v>-7.3247024413886953E-5</v>
      </c>
      <c r="F39" s="19">
        <f t="shared" si="17"/>
        <v>-1.1851718348359928E-2</v>
      </c>
      <c r="G39" s="19">
        <f t="shared" si="17"/>
        <v>-2.1646722315800802E-2</v>
      </c>
      <c r="H39" s="19">
        <f t="shared" si="17"/>
        <v>-1.3655943485876763E-2</v>
      </c>
      <c r="I39" s="17"/>
      <c r="J39" s="52">
        <f>AVERAGE(D66:INDEX(D66:H66,0,MATCH(Data!$B$3,$D$7:$H$7,0)))/AVERAGE($D$91:INDEX($D$91:$H$91,0,MATCH(Data!$B$3,$D$7:$H$7,0)))</f>
        <v>-1.3436919509371515E-4</v>
      </c>
      <c r="K39" s="54">
        <f t="shared" si="18"/>
        <v>-7.2527653692071072E-3</v>
      </c>
    </row>
    <row r="40" spans="2:13">
      <c r="B40" s="16" t="s">
        <v>109</v>
      </c>
      <c r="C40" s="63" t="s">
        <v>163</v>
      </c>
      <c r="D40" s="18">
        <f t="shared" si="17"/>
        <v>1.9813358333067797E-4</v>
      </c>
      <c r="E40" s="19">
        <f t="shared" si="17"/>
        <v>1.8314138761352954E-4</v>
      </c>
      <c r="F40" s="19">
        <f t="shared" si="17"/>
        <v>1.7337181412222785E-4</v>
      </c>
      <c r="G40" s="19">
        <f t="shared" si="17"/>
        <v>1.7726885708558679E-4</v>
      </c>
      <c r="H40" s="19">
        <f t="shared" si="17"/>
        <v>1.8476567692359672E-4</v>
      </c>
      <c r="I40" s="17"/>
      <c r="J40" s="52">
        <f>AVERAGE(D67:INDEX(D67:H67,0,MATCH(Data!$B$3,$D$7:$H$7,0)))/AVERAGE($D$91:INDEX($D$91:$H$91,0,MATCH(Data!$B$3,$D$7:$H$7,0)))</f>
        <v>1.843282586183732E-4</v>
      </c>
      <c r="K40" s="54">
        <f t="shared" si="18"/>
        <v>1.8295769643943965E-4</v>
      </c>
    </row>
    <row r="41" spans="2:13">
      <c r="B41" s="16" t="s">
        <v>164</v>
      </c>
      <c r="C41" s="63" t="s">
        <v>163</v>
      </c>
      <c r="D41" s="18">
        <f t="shared" si="17"/>
        <v>1.0882462755759813E-3</v>
      </c>
      <c r="E41" s="19">
        <f t="shared" si="17"/>
        <v>1.2699420043536412E-3</v>
      </c>
      <c r="F41" s="19">
        <f t="shared" si="17"/>
        <v>1.5508291353040545E-3</v>
      </c>
      <c r="G41" s="19">
        <f t="shared" si="17"/>
        <v>1.3354741108304354E-3</v>
      </c>
      <c r="H41" s="19">
        <f t="shared" si="17"/>
        <v>1.4577741035655589E-3</v>
      </c>
      <c r="I41" s="17"/>
      <c r="J41" s="52">
        <f>AVERAGE(D68:INDEX(D68:H68,0,MATCH(Data!$B$3,$D$7:$H$7,0)))/AVERAGE($D$91:INDEX($D$91:$H$91,0,MATCH(Data!$B$3,$D$7:$H$7,0)))</f>
        <v>1.3131428029357381E-3</v>
      </c>
      <c r="K41" s="54">
        <f t="shared" si="18"/>
        <v>1.3463956030502922E-3</v>
      </c>
    </row>
    <row r="42" spans="2:13">
      <c r="B42" s="16" t="s">
        <v>165</v>
      </c>
      <c r="C42" s="63" t="s">
        <v>163</v>
      </c>
      <c r="D42" s="18">
        <f t="shared" si="17"/>
        <v>0</v>
      </c>
      <c r="E42" s="19">
        <f t="shared" si="17"/>
        <v>0</v>
      </c>
      <c r="F42" s="19">
        <f t="shared" si="17"/>
        <v>0</v>
      </c>
      <c r="G42" s="19">
        <f t="shared" si="17"/>
        <v>0</v>
      </c>
      <c r="H42" s="19">
        <f t="shared" si="17"/>
        <v>0</v>
      </c>
      <c r="I42" s="17"/>
      <c r="J42" s="52">
        <f>AVERAGE(D69:INDEX(D69:H69,0,MATCH(Data!$B$3,$D$7:$H$7,0)))/AVERAGE($D$91:INDEX($D$91:$H$91,0,MATCH(Data!$B$3,$D$7:$H$7,0)))</f>
        <v>0</v>
      </c>
      <c r="K42" s="54">
        <f t="shared" si="18"/>
        <v>0</v>
      </c>
    </row>
    <row r="43" spans="2:13">
      <c r="B43" s="16" t="s">
        <v>166</v>
      </c>
      <c r="C43" s="63" t="s">
        <v>163</v>
      </c>
      <c r="D43" s="18">
        <f t="shared" si="17"/>
        <v>0</v>
      </c>
      <c r="E43" s="19">
        <f t="shared" si="17"/>
        <v>-1.952655444185155E-4</v>
      </c>
      <c r="F43" s="19">
        <f t="shared" si="17"/>
        <v>-3.8547054660382596E-4</v>
      </c>
      <c r="G43" s="19">
        <f t="shared" si="17"/>
        <v>0</v>
      </c>
      <c r="H43" s="19">
        <f t="shared" si="17"/>
        <v>0</v>
      </c>
      <c r="I43" s="17"/>
      <c r="J43" s="52">
        <f>AVERAGE(D70:INDEX(D70:H70,0,MATCH(Data!$B$3,$D$7:$H$7,0)))/AVERAGE($D$91:INDEX($D$91:$H$91,0,MATCH(Data!$B$3,$D$7:$H$7,0)))</f>
        <v>-2.0212060609149811E-4</v>
      </c>
      <c r="K43" s="54">
        <f t="shared" si="18"/>
        <v>-1.203706499609644E-4</v>
      </c>
    </row>
    <row r="44" spans="2:13">
      <c r="B44" s="16" t="s">
        <v>167</v>
      </c>
      <c r="C44" s="63" t="s">
        <v>163</v>
      </c>
      <c r="D44" s="18">
        <f t="shared" si="17"/>
        <v>0</v>
      </c>
      <c r="E44" s="19">
        <f t="shared" si="17"/>
        <v>0</v>
      </c>
      <c r="F44" s="19">
        <f t="shared" si="17"/>
        <v>0</v>
      </c>
      <c r="G44" s="19">
        <f t="shared" si="17"/>
        <v>0</v>
      </c>
      <c r="H44" s="19">
        <f t="shared" si="17"/>
        <v>0</v>
      </c>
      <c r="I44" s="17"/>
      <c r="J44" s="52">
        <f>AVERAGE(D71:INDEX(D71:H71,0,MATCH(Data!$B$3,$D$7:$H$7,0)))/AVERAGE($D$91:INDEX($D$91:$H$91,0,MATCH(Data!$B$3,$D$7:$H$7,0)))</f>
        <v>0</v>
      </c>
      <c r="K44" s="54">
        <f t="shared" si="18"/>
        <v>0</v>
      </c>
    </row>
    <row r="45" spans="2:13">
      <c r="B45" s="16" t="s">
        <v>168</v>
      </c>
      <c r="C45" s="63" t="s">
        <v>163</v>
      </c>
      <c r="D45" s="18">
        <f t="shared" si="17"/>
        <v>1.6272865142343779E-4</v>
      </c>
      <c r="E45" s="19">
        <f t="shared" si="17"/>
        <v>2.9668890798144863E-4</v>
      </c>
      <c r="F45" s="19">
        <f t="shared" si="17"/>
        <v>1.5365135381522948E-4</v>
      </c>
      <c r="G45" s="19">
        <f t="shared" si="17"/>
        <v>3.8119992200453368E-5</v>
      </c>
      <c r="H45" s="19">
        <f t="shared" si="17"/>
        <v>3.5161066712426345E-5</v>
      </c>
      <c r="I45" s="17"/>
      <c r="J45" s="52">
        <f>AVERAGE(D72:INDEX(D72:H72,0,MATCH(Data!$B$3,$D$7:$H$7,0)))/AVERAGE($D$91:INDEX($D$91:$H$91,0,MATCH(Data!$B$3,$D$7:$H$7,0)))</f>
        <v>2.0445446956822731E-4</v>
      </c>
      <c r="K45" s="54">
        <f t="shared" si="18"/>
        <v>1.3659262202428909E-4</v>
      </c>
    </row>
    <row r="46" spans="2:13">
      <c r="B46" s="16" t="s">
        <v>169</v>
      </c>
      <c r="C46" s="63" t="s">
        <v>163</v>
      </c>
      <c r="D46" s="18">
        <f t="shared" si="17"/>
        <v>3.1831734057924838E-4</v>
      </c>
      <c r="E46" s="19">
        <f t="shared" si="17"/>
        <v>3.2522042892913156E-4</v>
      </c>
      <c r="F46" s="19">
        <f t="shared" si="17"/>
        <v>2.7853559136757633E-4</v>
      </c>
      <c r="G46" s="19">
        <f t="shared" si="17"/>
        <v>1.6674947988082328E-4</v>
      </c>
      <c r="H46" s="19">
        <f t="shared" si="17"/>
        <v>1.7380142814348311E-4</v>
      </c>
      <c r="I46" s="17"/>
      <c r="J46" s="52">
        <f>AVERAGE(D73:INDEX(D73:H73,0,MATCH(Data!$B$3,$D$7:$H$7,0)))/AVERAGE($D$91:INDEX($D$91:$H$91,0,MATCH(Data!$B$3,$D$7:$H$7,0)))</f>
        <v>3.0653468025602199E-4</v>
      </c>
      <c r="K46" s="54">
        <f t="shared" si="18"/>
        <v>2.5139356982997876E-4</v>
      </c>
    </row>
    <row r="47" spans="2:13">
      <c r="B47" s="16" t="s">
        <v>118</v>
      </c>
      <c r="C47" s="63" t="s">
        <v>163</v>
      </c>
      <c r="D47" s="18">
        <f t="shared" ref="D47:H47" si="19">D74/D$91</f>
        <v>-1.6567851919267119E-4</v>
      </c>
      <c r="E47" s="19">
        <f t="shared" si="19"/>
        <v>-2.1052212856213936E-4</v>
      </c>
      <c r="F47" s="19">
        <f t="shared" si="19"/>
        <v>-2.5951706468060545E-4</v>
      </c>
      <c r="G47" s="19">
        <f t="shared" si="19"/>
        <v>-4.9143865883361339E-4</v>
      </c>
      <c r="H47" s="19">
        <f t="shared" si="19"/>
        <v>-5.0314286239663375E-4</v>
      </c>
      <c r="I47" s="17"/>
      <c r="J47" s="52">
        <f>AVERAGE(D74:INDEX(D74:H74,0,MATCH(Data!$B$3,$D$7:$H$7,0)))/AVERAGE($D$91:INDEX($D$91:$H$91,0,MATCH(Data!$B$3,$D$7:$H$7,0)))</f>
        <v>-2.1397952304858463E-4</v>
      </c>
      <c r="K47" s="54">
        <f t="shared" ref="K47:K55" si="20">AVERAGE(D74:H74)/AVERAGE($D$91:$H$91)</f>
        <v>-3.2851893121639189E-4</v>
      </c>
    </row>
    <row r="48" spans="2:13">
      <c r="B48" s="16" t="s">
        <v>119</v>
      </c>
      <c r="C48" s="63" t="s">
        <v>163</v>
      </c>
      <c r="D48" s="18">
        <f t="shared" ref="D48:H48" si="21">D75/D$91</f>
        <v>-8.7139383545810462E-5</v>
      </c>
      <c r="E48" s="19">
        <f t="shared" si="21"/>
        <v>0</v>
      </c>
      <c r="F48" s="19">
        <f t="shared" si="21"/>
        <v>0</v>
      </c>
      <c r="G48" s="19">
        <f t="shared" si="21"/>
        <v>0</v>
      </c>
      <c r="H48" s="19">
        <f t="shared" si="21"/>
        <v>0</v>
      </c>
      <c r="I48" s="17"/>
      <c r="J48" s="52">
        <f>AVERAGE(D75:INDEX(D75:H75,0,MATCH(Data!$B$3,$D$7:$H$7,0)))/AVERAGE($D$91:INDEX($D$91:$H$91,0,MATCH(Data!$B$3,$D$7:$H$7,0)))</f>
        <v>-2.7022595153678774E-5</v>
      </c>
      <c r="K48" s="54">
        <f t="shared" si="20"/>
        <v>-1.6093002119773188E-5</v>
      </c>
    </row>
    <row r="49" spans="2:12">
      <c r="B49" s="16" t="s">
        <v>120</v>
      </c>
      <c r="C49" s="63" t="s">
        <v>163</v>
      </c>
      <c r="D49" s="18">
        <f t="shared" ref="D49:H49" si="22">D76/D$91</f>
        <v>0</v>
      </c>
      <c r="E49" s="19">
        <f t="shared" si="22"/>
        <v>-1.5191454252992977E-6</v>
      </c>
      <c r="F49" s="19">
        <f t="shared" si="22"/>
        <v>-6.7328845799902997E-6</v>
      </c>
      <c r="G49" s="19">
        <f t="shared" si="22"/>
        <v>0</v>
      </c>
      <c r="H49" s="19">
        <f t="shared" si="22"/>
        <v>0</v>
      </c>
      <c r="I49" s="17"/>
      <c r="J49" s="52">
        <f>AVERAGE(D76:INDEX(D76:H76,0,MATCH(Data!$B$3,$D$7:$H$7,0)))/AVERAGE($D$91:INDEX($D$91:$H$91,0,MATCH(Data!$B$3,$D$7:$H$7,0)))</f>
        <v>-2.8957893071139837E-6</v>
      </c>
      <c r="K49" s="54">
        <f t="shared" si="20"/>
        <v>-1.7245546992350077E-6</v>
      </c>
    </row>
    <row r="50" spans="2:12">
      <c r="B50" s="16" t="s">
        <v>170</v>
      </c>
      <c r="C50" s="63" t="s">
        <v>163</v>
      </c>
      <c r="D50" s="18">
        <f t="shared" ref="D50:H50" si="23">D77/D$91</f>
        <v>-1.6254631662358945E-4</v>
      </c>
      <c r="E50" s="19">
        <f t="shared" si="23"/>
        <v>-1.5955434201618128E-4</v>
      </c>
      <c r="F50" s="19">
        <f t="shared" si="23"/>
        <v>0</v>
      </c>
      <c r="G50" s="19">
        <f t="shared" si="23"/>
        <v>0</v>
      </c>
      <c r="H50" s="19">
        <f t="shared" si="23"/>
        <v>0</v>
      </c>
      <c r="I50" s="17"/>
      <c r="J50" s="52">
        <f>AVERAGE(D77:INDEX(D77:H77,0,MATCH(Data!$B$3,$D$7:$H$7,0)))/AVERAGE($D$91:INDEX($D$91:$H$91,0,MATCH(Data!$B$3,$D$7:$H$7,0)))</f>
        <v>-1.0393631828941735E-4</v>
      </c>
      <c r="K50" s="54">
        <f t="shared" si="20"/>
        <v>-6.189810345899755E-5</v>
      </c>
    </row>
    <row r="51" spans="2:12">
      <c r="B51" s="16" t="s">
        <v>171</v>
      </c>
      <c r="C51" s="63" t="s">
        <v>163</v>
      </c>
      <c r="D51" s="18">
        <f t="shared" ref="D51:H51" si="24">D78/D$91</f>
        <v>0</v>
      </c>
      <c r="E51" s="19">
        <f t="shared" si="24"/>
        <v>-7.1033739734685869E-5</v>
      </c>
      <c r="F51" s="19">
        <f t="shared" si="24"/>
        <v>0</v>
      </c>
      <c r="G51" s="19">
        <f t="shared" si="24"/>
        <v>0</v>
      </c>
      <c r="H51" s="19">
        <f t="shared" si="24"/>
        <v>0</v>
      </c>
      <c r="I51" s="17"/>
      <c r="J51" s="52">
        <f>AVERAGE(D78:INDEX(D78:H78,0,MATCH(Data!$B$3,$D$7:$H$7,0)))/AVERAGE($D$91:INDEX($D$91:$H$91,0,MATCH(Data!$B$3,$D$7:$H$7,0)))</f>
        <v>-2.3831360966635132E-5</v>
      </c>
      <c r="K51" s="54">
        <f t="shared" si="20"/>
        <v>-1.4192498550640804E-5</v>
      </c>
    </row>
    <row r="52" spans="2:12">
      <c r="B52" s="16" t="s">
        <v>172</v>
      </c>
      <c r="C52" s="63" t="s">
        <v>163</v>
      </c>
      <c r="D52" s="18">
        <f t="shared" ref="D52:H52" si="25">D79/D$91</f>
        <v>0</v>
      </c>
      <c r="E52" s="19">
        <f t="shared" si="25"/>
        <v>0</v>
      </c>
      <c r="F52" s="19">
        <f t="shared" si="25"/>
        <v>0</v>
      </c>
      <c r="G52" s="19">
        <f t="shared" si="25"/>
        <v>0</v>
      </c>
      <c r="H52" s="19">
        <f t="shared" si="25"/>
        <v>0</v>
      </c>
      <c r="I52" s="17"/>
      <c r="J52" s="52">
        <f>AVERAGE(D79:INDEX(D79:H79,0,MATCH(Data!$B$3,$D$7:$H$7,0)))/AVERAGE($D$91:INDEX($D$91:$H$91,0,MATCH(Data!$B$3,$D$7:$H$7,0)))</f>
        <v>0</v>
      </c>
      <c r="K52" s="54">
        <f t="shared" si="20"/>
        <v>0</v>
      </c>
    </row>
    <row r="53" spans="2:12">
      <c r="B53" s="16" t="s">
        <v>172</v>
      </c>
      <c r="C53" s="63" t="s">
        <v>163</v>
      </c>
      <c r="D53" s="18">
        <f t="shared" ref="D53:H53" si="26">D80/D$91</f>
        <v>0</v>
      </c>
      <c r="E53" s="19">
        <f t="shared" si="26"/>
        <v>0</v>
      </c>
      <c r="F53" s="19">
        <f t="shared" si="26"/>
        <v>0</v>
      </c>
      <c r="G53" s="19">
        <f t="shared" si="26"/>
        <v>0</v>
      </c>
      <c r="H53" s="19">
        <f t="shared" si="26"/>
        <v>0</v>
      </c>
      <c r="I53" s="17"/>
      <c r="J53" s="52">
        <f>AVERAGE(D80:INDEX(D80:H80,0,MATCH(Data!$B$3,$D$7:$H$7,0)))/AVERAGE($D$91:INDEX($D$91:$H$91,0,MATCH(Data!$B$3,$D$7:$H$7,0)))</f>
        <v>0</v>
      </c>
      <c r="K53" s="54">
        <f t="shared" si="20"/>
        <v>0</v>
      </c>
    </row>
    <row r="54" spans="2:12">
      <c r="B54" s="16" t="s">
        <v>172</v>
      </c>
      <c r="C54" s="63" t="s">
        <v>163</v>
      </c>
      <c r="D54" s="18">
        <f t="shared" ref="D54:H54" si="27">D81/D$91</f>
        <v>0</v>
      </c>
      <c r="E54" s="19">
        <f t="shared" si="27"/>
        <v>0</v>
      </c>
      <c r="F54" s="19">
        <f t="shared" si="27"/>
        <v>0</v>
      </c>
      <c r="G54" s="19">
        <f t="shared" si="27"/>
        <v>0</v>
      </c>
      <c r="H54" s="19">
        <f t="shared" si="27"/>
        <v>0</v>
      </c>
      <c r="I54" s="17"/>
      <c r="J54" s="52">
        <f>AVERAGE(D81:INDEX(D81:H81,0,MATCH(Data!$B$3,$D$7:$H$7,0)))/AVERAGE($D$91:INDEX($D$91:$H$91,0,MATCH(Data!$B$3,$D$7:$H$7,0)))</f>
        <v>0</v>
      </c>
      <c r="K54" s="54">
        <f t="shared" si="20"/>
        <v>0</v>
      </c>
    </row>
    <row r="55" spans="2:12">
      <c r="B55" s="16" t="s">
        <v>121</v>
      </c>
      <c r="C55" s="63" t="s">
        <v>163</v>
      </c>
      <c r="D55" s="18">
        <f t="shared" ref="D55:H55" si="28">D82/D$91</f>
        <v>-8.1855868347926629E-4</v>
      </c>
      <c r="E55" s="19">
        <f t="shared" si="28"/>
        <v>-1.0697707872064971E-3</v>
      </c>
      <c r="F55" s="19">
        <f t="shared" si="28"/>
        <v>-9.4889556792032454E-4</v>
      </c>
      <c r="G55" s="19">
        <f t="shared" si="28"/>
        <v>-3.5378825714796374E-4</v>
      </c>
      <c r="H55" s="19">
        <f t="shared" si="28"/>
        <v>-3.6314672172269784E-4</v>
      </c>
      <c r="I55" s="17"/>
      <c r="J55" s="52">
        <f>AVERAGE(D82:INDEX(D82:H82,0,MATCH(Data!$B$3,$D$7:$H$7,0)))/AVERAGE($D$91:INDEX($D$91:$H$91,0,MATCH(Data!$B$3,$D$7:$H$7,0)))</f>
        <v>-9.4902994994757036E-4</v>
      </c>
      <c r="K55" s="54">
        <f t="shared" si="20"/>
        <v>-7.1013111948858539E-4</v>
      </c>
    </row>
    <row r="56" spans="2:12">
      <c r="B56" s="20" t="s">
        <v>122</v>
      </c>
      <c r="C56" s="63" t="s">
        <v>163</v>
      </c>
      <c r="D56" s="55">
        <f t="shared" ref="D56:H56" si="29">SUM(D38:D55)</f>
        <v>6.4619961157831488E-2</v>
      </c>
      <c r="E56" s="56">
        <f t="shared" si="29"/>
        <v>4.8174825696695504E-2</v>
      </c>
      <c r="F56" s="56">
        <f t="shared" si="29"/>
        <v>4.1702588970131411E-2</v>
      </c>
      <c r="G56" s="56">
        <f t="shared" si="29"/>
        <v>3.7146533629143039E-2</v>
      </c>
      <c r="H56" s="56">
        <f t="shared" si="29"/>
        <v>4.7615227768926606E-2</v>
      </c>
      <c r="I56" s="21"/>
      <c r="J56" s="57">
        <f>SUM(J38:J55)</f>
        <v>5.0980836528493383E-2</v>
      </c>
      <c r="K56" s="79">
        <f>SUM(K38:K55)</f>
        <v>4.7458647915817657E-2</v>
      </c>
    </row>
    <row r="57" spans="2:12">
      <c r="B57" s="16" t="s">
        <v>173</v>
      </c>
      <c r="C57" s="63" t="s">
        <v>163</v>
      </c>
      <c r="D57" s="18">
        <f>(D84+D85)/D$91</f>
        <v>2.339024681312088E-2</v>
      </c>
      <c r="E57" s="19">
        <f t="shared" ref="E57:H57" si="30">(E84+E85)/E$91</f>
        <v>5.5990573591558838E-2</v>
      </c>
      <c r="F57" s="19">
        <f t="shared" si="30"/>
        <v>3.5006277074785715E-2</v>
      </c>
      <c r="G57" s="19">
        <f t="shared" si="30"/>
        <v>9.8651051620987328E-3</v>
      </c>
      <c r="H57" s="19">
        <f t="shared" si="30"/>
        <v>-4.5470026377189155E-3</v>
      </c>
      <c r="I57" s="17"/>
      <c r="J57" s="52">
        <f>(AVERAGE(D84:INDEX(D84:H84,0,MATCH(Data!$B$3,$D$7:$H$7,0)))+AVERAGE(D85:INDEX(D85:H85,0,MATCH(Data!$B$3,$D$7:$H$7,0))))/AVERAGE($D$91:INDEX($D$91:$H$91,0,MATCH(Data!$B$3,$D$7:$H$7,0)))</f>
        <v>3.8444152439353951E-2</v>
      </c>
      <c r="K57" s="54">
        <f>(AVERAGE(D84:H84)+AVERAGE(D85:H85))/AVERAGE($D$91:$H$91)</f>
        <v>2.4030818498855529E-2</v>
      </c>
    </row>
    <row r="58" spans="2:12">
      <c r="B58" s="16" t="s">
        <v>174</v>
      </c>
      <c r="C58" s="63" t="s">
        <v>163</v>
      </c>
      <c r="D58" s="18">
        <f>(D86+D87)/D$91</f>
        <v>5.1193593404432929E-3</v>
      </c>
      <c r="E58" s="19">
        <f t="shared" ref="E58:H58" si="31">(E86+E87)/E$91</f>
        <v>4.7371965819150471E-4</v>
      </c>
      <c r="F58" s="19">
        <f t="shared" si="31"/>
        <v>-2.3859211041004653E-3</v>
      </c>
      <c r="G58" s="19">
        <f t="shared" si="31"/>
        <v>1.1968685112088033E-2</v>
      </c>
      <c r="H58" s="19">
        <f t="shared" si="31"/>
        <v>4.4523352712374691E-3</v>
      </c>
      <c r="I58" s="17"/>
      <c r="J58" s="52">
        <f>(AVERAGE(D86:INDEX(D86:H86,0,MATCH(Data!$B$3,$D$7:$H$7,0)))+AVERAGE(D87:INDEX(D87:H87,0,MATCH(Data!$B$3,$D$7:$H$7,0))))/AVERAGE($D$91:INDEX($D$91:$H$91,0,MATCH(Data!$B$3,$D$7:$H$7,0)))</f>
        <v>9.0091527712883449E-4</v>
      </c>
      <c r="K58" s="54">
        <f>(AVERAGE(D86:H86)+AVERAGE(D87:H87))/AVERAGE($D$91:$H$91)</f>
        <v>3.8888393929601248E-3</v>
      </c>
    </row>
    <row r="59" spans="2:12">
      <c r="B59" s="20" t="s">
        <v>125</v>
      </c>
      <c r="C59" s="63" t="s">
        <v>163</v>
      </c>
      <c r="D59" s="57">
        <f>SUM(D56:D58)</f>
        <v>9.3129567311395656E-2</v>
      </c>
      <c r="E59" s="58">
        <f t="shared" ref="E59:H59" si="32">SUM(E56:E58)</f>
        <v>0.10463911894644584</v>
      </c>
      <c r="F59" s="58">
        <f t="shared" si="32"/>
        <v>7.4322944940816663E-2</v>
      </c>
      <c r="G59" s="58">
        <f t="shared" si="32"/>
        <v>5.8980323903329808E-2</v>
      </c>
      <c r="H59" s="58">
        <f t="shared" si="32"/>
        <v>4.7520560402445164E-2</v>
      </c>
      <c r="I59" s="21"/>
      <c r="J59" s="57">
        <f>SUM(J56:J58)</f>
        <v>9.0325904244976177E-2</v>
      </c>
      <c r="K59" s="79">
        <f>SUM(K56:K58)</f>
        <v>7.5378305807633314E-2</v>
      </c>
    </row>
    <row r="60" spans="2:12">
      <c r="B60" s="23"/>
      <c r="C60" s="24"/>
      <c r="D60" s="25"/>
      <c r="E60" s="25"/>
      <c r="F60" s="25"/>
      <c r="G60" s="25"/>
      <c r="H60" s="25"/>
      <c r="I60" s="21"/>
      <c r="J60" s="25"/>
      <c r="K60" s="25"/>
    </row>
    <row r="61" spans="2:12">
      <c r="B61" s="23"/>
      <c r="C61" s="24"/>
      <c r="D61" s="25"/>
      <c r="E61" s="25"/>
      <c r="F61" s="25"/>
      <c r="G61" s="25"/>
      <c r="H61" s="25"/>
      <c r="I61" s="21"/>
      <c r="J61" s="25"/>
      <c r="K61" s="25"/>
    </row>
    <row r="62" spans="2:12">
      <c r="B62" s="26" t="s">
        <v>175</v>
      </c>
      <c r="C62" s="27"/>
      <c r="D62" s="28"/>
      <c r="E62" s="28"/>
      <c r="F62" s="28"/>
      <c r="G62" s="28"/>
      <c r="H62" s="28"/>
      <c r="I62" s="29"/>
      <c r="J62" s="28"/>
      <c r="K62" s="28"/>
      <c r="L62" s="13"/>
    </row>
    <row r="63" spans="2:12">
      <c r="B63" s="30" t="s">
        <v>176</v>
      </c>
      <c r="C63" s="31"/>
      <c r="D63" s="31"/>
      <c r="E63" s="31"/>
      <c r="F63" s="31"/>
      <c r="G63" s="31"/>
      <c r="H63" s="31"/>
      <c r="I63" s="31"/>
      <c r="J63" s="31"/>
      <c r="K63" s="31"/>
      <c r="L63" s="31"/>
    </row>
    <row r="65" spans="2:11">
      <c r="B65" s="8" t="s">
        <v>177</v>
      </c>
      <c r="C65" s="64" t="s">
        <v>178</v>
      </c>
      <c r="D65" s="80">
        <f>Cadent!D65+NGN!D65+SGN!D65+WWU!D65</f>
        <v>352.95938065027474</v>
      </c>
      <c r="E65" s="80">
        <f>Cadent!E65+NGN!E65+SGN!E65+WWU!E65</f>
        <v>359.2302606662812</v>
      </c>
      <c r="F65" s="80">
        <f>Cadent!F65+NGN!F65+SGN!F65+WWU!F65</f>
        <v>420.0334561001597</v>
      </c>
      <c r="G65" s="80">
        <f>Cadent!G65+NGN!G65+SGN!G65+WWU!G65</f>
        <v>448.95327453227662</v>
      </c>
      <c r="H65" s="80">
        <f>Cadent!H65+NGN!H65+SGN!H65+WWU!H65</f>
        <v>448.32543826450586</v>
      </c>
      <c r="J65" s="80">
        <f>Cadent!J65+NGN!J65+SGN!J65+WWU!J65</f>
        <v>1132.2230974167155</v>
      </c>
      <c r="K65" s="80">
        <f>Cadent!K65+NGN!K65+SGN!K65+WWU!K65</f>
        <v>2029.5018102134979</v>
      </c>
    </row>
    <row r="66" spans="2:11">
      <c r="B66" s="8" t="s">
        <v>108</v>
      </c>
      <c r="C66" s="64" t="s">
        <v>178</v>
      </c>
      <c r="D66" s="80">
        <f>Cadent!D66+NGN!D66+SGN!D66+WWU!D66</f>
        <v>91.474014780258699</v>
      </c>
      <c r="E66" s="80">
        <f>Cadent!E66+NGN!E66+SGN!E66+WWU!E66</f>
        <v>-0.54954339786824846</v>
      </c>
      <c r="F66" s="80">
        <f>Cadent!F66+NGN!F66+SGN!F66+WWU!F66</f>
        <v>-93.9293543261347</v>
      </c>
      <c r="G66" s="80">
        <f>Cadent!G66+NGN!G66+SGN!G66+WWU!G66</f>
        <v>-167.78696169348675</v>
      </c>
      <c r="H66" s="80">
        <f>Cadent!H66+NGN!H66+SGN!H66+WWU!H66</f>
        <v>-101.55444143372844</v>
      </c>
      <c r="J66" s="80">
        <f>Cadent!J66+NGN!J66+SGN!J66+WWU!J66</f>
        <v>-3.0048829437442279</v>
      </c>
      <c r="K66" s="80">
        <f>Cadent!K66+NGN!K66+SGN!K66+WWU!K66</f>
        <v>-272.34628607095942</v>
      </c>
    </row>
    <row r="67" spans="2:11">
      <c r="B67" s="8" t="s">
        <v>109</v>
      </c>
      <c r="C67" s="64" t="s">
        <v>178</v>
      </c>
      <c r="D67" s="80">
        <f>Cadent!D67+NGN!D67+SGN!D67+WWU!D67</f>
        <v>1.3740372560494591</v>
      </c>
      <c r="E67" s="80">
        <f>Cadent!E67+NGN!E67+SGN!E67+WWU!E67</f>
        <v>1.3740372560494591</v>
      </c>
      <c r="F67" s="80">
        <f>Cadent!F67+NGN!F67+SGN!F67+WWU!F67</f>
        <v>1.3740372560494591</v>
      </c>
      <c r="G67" s="80">
        <f>Cadent!G67+NGN!G67+SGN!G67+WWU!G67</f>
        <v>1.3740372560494591</v>
      </c>
      <c r="H67" s="80">
        <f>Cadent!H67+NGN!H67+SGN!H67+WWU!H67</f>
        <v>1.3740372560494591</v>
      </c>
      <c r="J67" s="80">
        <f>Cadent!J67+NGN!J67+SGN!J67+WWU!J67</f>
        <v>4.1221117681483772</v>
      </c>
      <c r="K67" s="80">
        <f>Cadent!K67+NGN!K67+SGN!K67+WWU!K67</f>
        <v>6.8701862802472959</v>
      </c>
    </row>
    <row r="68" spans="2:11">
      <c r="B68" s="8" t="s">
        <v>164</v>
      </c>
      <c r="C68" s="64" t="s">
        <v>178</v>
      </c>
      <c r="D68" s="80">
        <f>Cadent!D68+NGN!D68+SGN!D68+WWU!D68</f>
        <v>7.5468827710185664</v>
      </c>
      <c r="E68" s="80">
        <f>Cadent!E68+NGN!E68+SGN!E68+WWU!E68</f>
        <v>9.5278716064239308</v>
      </c>
      <c r="F68" s="80">
        <f>Cadent!F68+NGN!F68+SGN!F68+WWU!F68</f>
        <v>12.290907956771145</v>
      </c>
      <c r="G68" s="80">
        <f>Cadent!G68+NGN!G68+SGN!G68+WWU!G68</f>
        <v>10.351458304289707</v>
      </c>
      <c r="H68" s="80">
        <f>Cadent!H68+NGN!H68+SGN!H68+WWU!H68</f>
        <v>10.840952511063323</v>
      </c>
      <c r="J68" s="80">
        <f>Cadent!J68+NGN!J68+SGN!J68+WWU!J68</f>
        <v>29.365662334213642</v>
      </c>
      <c r="K68" s="80">
        <f>Cadent!K68+NGN!K68+SGN!K68+WWU!K68</f>
        <v>50.558073149566674</v>
      </c>
    </row>
    <row r="69" spans="2:11">
      <c r="B69" s="8" t="s">
        <v>165</v>
      </c>
      <c r="C69" s="64" t="s">
        <v>178</v>
      </c>
      <c r="D69" s="80">
        <f>Cadent!D69+NGN!D69+SGN!D69+WWU!D69</f>
        <v>0</v>
      </c>
      <c r="E69" s="80">
        <f>Cadent!E69+NGN!E69+SGN!E69+WWU!E69</f>
        <v>0</v>
      </c>
      <c r="F69" s="80">
        <f>Cadent!F69+NGN!F69+SGN!F69+WWU!F69</f>
        <v>0</v>
      </c>
      <c r="G69" s="80">
        <f>Cadent!G69+NGN!G69+SGN!G69+WWU!G69</f>
        <v>0</v>
      </c>
      <c r="H69" s="80">
        <f>Cadent!H69+NGN!H69+SGN!H69+WWU!H69</f>
        <v>0</v>
      </c>
      <c r="J69" s="80">
        <f>Cadent!J69+NGN!J69+SGN!J69+WWU!J69</f>
        <v>0</v>
      </c>
      <c r="K69" s="80">
        <f>Cadent!K69+NGN!K69+SGN!K69+WWU!K69</f>
        <v>0</v>
      </c>
    </row>
    <row r="70" spans="2:11">
      <c r="B70" s="8" t="s">
        <v>166</v>
      </c>
      <c r="C70" s="64" t="s">
        <v>178</v>
      </c>
      <c r="D70" s="80">
        <f>Cadent!D70+NGN!D70+SGN!D70+WWU!D70</f>
        <v>0</v>
      </c>
      <c r="E70" s="80">
        <f>Cadent!E70+NGN!E70+SGN!E70+WWU!E70</f>
        <v>-1.4650000000000001</v>
      </c>
      <c r="F70" s="80">
        <f>Cadent!F70+NGN!F70+SGN!F70+WWU!F70</f>
        <v>-3.0550000000000002</v>
      </c>
      <c r="G70" s="80">
        <f>Cadent!G70+NGN!G70+SGN!G70+WWU!G70</f>
        <v>0</v>
      </c>
      <c r="H70" s="80">
        <f>Cadent!H70+NGN!H70+SGN!H70+WWU!H70</f>
        <v>0</v>
      </c>
      <c r="J70" s="80">
        <f>Cadent!J70+NGN!J70+SGN!J70+WWU!J70</f>
        <v>-4.5200000000000005</v>
      </c>
      <c r="K70" s="80">
        <f>Cadent!K70+NGN!K70+SGN!K70+WWU!K70</f>
        <v>-4.5200000000000005</v>
      </c>
    </row>
    <row r="71" spans="2:11">
      <c r="B71" s="8" t="s">
        <v>167</v>
      </c>
      <c r="C71" s="64" t="s">
        <v>178</v>
      </c>
      <c r="D71" s="80">
        <f>Cadent!D71+NGN!D71+SGN!D71+WWU!D71</f>
        <v>0</v>
      </c>
      <c r="E71" s="80">
        <f>Cadent!E71+NGN!E71+SGN!E71+WWU!E71</f>
        <v>0</v>
      </c>
      <c r="F71" s="80">
        <f>Cadent!F71+NGN!F71+SGN!F71+WWU!F71</f>
        <v>0</v>
      </c>
      <c r="G71" s="80">
        <f>Cadent!G71+NGN!G71+SGN!G71+WWU!G71</f>
        <v>0</v>
      </c>
      <c r="H71" s="80">
        <f>Cadent!H71+NGN!H71+SGN!H71+WWU!H71</f>
        <v>0</v>
      </c>
      <c r="J71" s="80">
        <f>Cadent!J71+NGN!J71+SGN!J71+WWU!J71</f>
        <v>0</v>
      </c>
      <c r="K71" s="80">
        <f>Cadent!K71+NGN!K71+SGN!K71+WWU!K71</f>
        <v>0</v>
      </c>
    </row>
    <row r="72" spans="2:11">
      <c r="B72" s="8" t="s">
        <v>168</v>
      </c>
      <c r="C72" s="64" t="s">
        <v>178</v>
      </c>
      <c r="D72" s="80">
        <f>Cadent!D72+NGN!D72+SGN!D72+WWU!D72</f>
        <v>1.1285074742191323</v>
      </c>
      <c r="E72" s="80">
        <f>Cadent!E72+NGN!E72+SGN!E72+WWU!E72</f>
        <v>2.2259393047922074</v>
      </c>
      <c r="F72" s="80">
        <f>Cadent!F72+NGN!F72+SGN!F72+WWU!F72</f>
        <v>1.2177451430237682</v>
      </c>
      <c r="G72" s="80">
        <f>Cadent!G72+NGN!G72+SGN!G72+WWU!G72</f>
        <v>0.29547372474144784</v>
      </c>
      <c r="H72" s="80">
        <f>Cadent!H72+NGN!H72+SGN!H72+WWU!H72</f>
        <v>0.26148046774559885</v>
      </c>
      <c r="J72" s="80">
        <f>Cadent!J72+NGN!J72+SGN!J72+WWU!J72</f>
        <v>4.5721919220351079</v>
      </c>
      <c r="K72" s="80">
        <f>Cadent!K72+NGN!K72+SGN!K72+WWU!K72</f>
        <v>5.1291461145221549</v>
      </c>
    </row>
    <row r="73" spans="2:11">
      <c r="B73" s="8" t="s">
        <v>169</v>
      </c>
      <c r="C73" s="64" t="s">
        <v>178</v>
      </c>
      <c r="D73" s="80">
        <f>Cadent!D73+NGN!D73+SGN!D73+WWU!D73</f>
        <v>2.2075</v>
      </c>
      <c r="E73" s="80">
        <f>Cadent!E73+NGN!E73+SGN!E73+WWU!E73</f>
        <v>2.44</v>
      </c>
      <c r="F73" s="80">
        <f>Cadent!F73+NGN!F73+SGN!F73+WWU!F73</f>
        <v>2.2075</v>
      </c>
      <c r="G73" s="80">
        <f>Cadent!G73+NGN!G73+SGN!G73+WWU!G73</f>
        <v>1.2925</v>
      </c>
      <c r="H73" s="80">
        <f>Cadent!H73+NGN!H73+SGN!H73+WWU!H73</f>
        <v>1.2925</v>
      </c>
      <c r="J73" s="80">
        <f>Cadent!J73+NGN!J73+SGN!J73+WWU!J73</f>
        <v>6.8550000000000004</v>
      </c>
      <c r="K73" s="80">
        <f>Cadent!K73+NGN!K73+SGN!K73+WWU!K73</f>
        <v>9.4400000000000013</v>
      </c>
    </row>
    <row r="74" spans="2:11">
      <c r="B74" s="8" t="s">
        <v>118</v>
      </c>
      <c r="C74" s="64" t="s">
        <v>178</v>
      </c>
      <c r="D74" s="80">
        <f>Cadent!D74+NGN!D74+SGN!D74+WWU!D74</f>
        <v>-1.1489645221723888</v>
      </c>
      <c r="E74" s="80">
        <f>Cadent!E74+NGN!E74+SGN!E74+WWU!E74</f>
        <v>-1.5794641049549631</v>
      </c>
      <c r="F74" s="80">
        <f>Cadent!F74+NGN!F74+SGN!F74+WWU!F74</f>
        <v>-2.0567709766268836</v>
      </c>
      <c r="G74" s="80">
        <f>Cadent!G74+NGN!G74+SGN!G74+WWU!G74</f>
        <v>-3.8092140796865746</v>
      </c>
      <c r="H74" s="80">
        <f>Cadent!H74+NGN!H74+SGN!H74+WWU!H74</f>
        <v>-3.7416962368731452</v>
      </c>
      <c r="J74" s="80">
        <f>Cadent!J74+NGN!J74+SGN!J74+WWU!J74</f>
        <v>-4.7851996037542355</v>
      </c>
      <c r="K74" s="80">
        <f>Cadent!K74+NGN!K74+SGN!K74+WWU!K74</f>
        <v>-12.336109920313953</v>
      </c>
    </row>
    <row r="75" spans="2:11">
      <c r="B75" s="8" t="s">
        <v>119</v>
      </c>
      <c r="C75" s="64" t="s">
        <v>178</v>
      </c>
      <c r="D75" s="62">
        <f>Cadent!D75+NGN!D75+SGN!D75+WWU!D75</f>
        <v>-0.6043032051830256</v>
      </c>
      <c r="E75" s="62">
        <f>Cadent!E75+NGN!E75+SGN!E75+WWU!E75</f>
        <v>0</v>
      </c>
      <c r="F75" s="62">
        <f>Cadent!F75+NGN!F75+SGN!F75+WWU!F75</f>
        <v>0</v>
      </c>
      <c r="G75" s="62">
        <f>Cadent!G75+NGN!G75+SGN!G75+WWU!G75</f>
        <v>0</v>
      </c>
      <c r="H75" s="62">
        <f>Cadent!H75+NGN!H75+SGN!H75+WWU!H75</f>
        <v>0</v>
      </c>
      <c r="J75" s="65">
        <f>Cadent!J75+NGN!J75+SGN!J75+WWU!J75</f>
        <v>-0.6043032051830256</v>
      </c>
      <c r="K75" s="66">
        <f>Cadent!K75+NGN!K75+SGN!K75+WWU!K75</f>
        <v>-0.6043032051830256</v>
      </c>
    </row>
    <row r="76" spans="2:11">
      <c r="B76" s="8" t="s">
        <v>120</v>
      </c>
      <c r="C76" s="64" t="s">
        <v>178</v>
      </c>
      <c r="D76" s="62">
        <f>Cadent!D76+NGN!D76+SGN!D76+WWU!D76</f>
        <v>0</v>
      </c>
      <c r="E76" s="62">
        <f>Cadent!E76+NGN!E76+SGN!E76+WWU!E76</f>
        <v>-1.1397546119521332E-2</v>
      </c>
      <c r="F76" s="62">
        <f>Cadent!F76+NGN!F76+SGN!F76+WWU!F76</f>
        <v>-5.3360659000000005E-2</v>
      </c>
      <c r="G76" s="62">
        <f>Cadent!G76+NGN!G76+SGN!G76+WWU!G76</f>
        <v>0</v>
      </c>
      <c r="H76" s="62">
        <f>Cadent!H76+NGN!H76+SGN!H76+WWU!H76</f>
        <v>0</v>
      </c>
      <c r="J76" s="65">
        <f>Cadent!J76+NGN!J76+SGN!J76+WWU!J76</f>
        <v>-6.4758205119521337E-2</v>
      </c>
      <c r="K76" s="66">
        <f>Cadent!K76+NGN!K76+SGN!K76+WWU!K76</f>
        <v>-6.4758205119521337E-2</v>
      </c>
    </row>
    <row r="77" spans="2:11">
      <c r="B77" s="8" t="s">
        <v>170</v>
      </c>
      <c r="C77" s="64" t="s">
        <v>178</v>
      </c>
      <c r="D77" s="62">
        <f>Cadent!D77+NGN!D77+SGN!D77+WWU!D77</f>
        <v>-1.127243</v>
      </c>
      <c r="E77" s="62">
        <f>Cadent!E77+NGN!E77+SGN!E77+WWU!E77</f>
        <v>-1.1970730000000001</v>
      </c>
      <c r="F77" s="62">
        <f>Cadent!F77+NGN!F77+SGN!F77+WWU!F77</f>
        <v>0</v>
      </c>
      <c r="G77" s="62">
        <f>Cadent!G77+NGN!G77+SGN!G77+WWU!G77</f>
        <v>0</v>
      </c>
      <c r="H77" s="62">
        <f>Cadent!H77+NGN!H77+SGN!H77+WWU!H77</f>
        <v>0</v>
      </c>
      <c r="J77" s="65">
        <f>Cadent!J77+NGN!J77+SGN!J77+WWU!J77</f>
        <v>-2.324316</v>
      </c>
      <c r="K77" s="66">
        <f>Cadent!K77+NGN!K77+SGN!K77+WWU!K77</f>
        <v>-2.324316</v>
      </c>
    </row>
    <row r="78" spans="2:11">
      <c r="B78" s="8" t="s">
        <v>171</v>
      </c>
      <c r="C78" s="64" t="s">
        <v>178</v>
      </c>
      <c r="D78" s="62">
        <f>Cadent!D78+NGN!D78+SGN!D78+WWU!D78</f>
        <v>0</v>
      </c>
      <c r="E78" s="62">
        <f>Cadent!E78+NGN!E78+SGN!E78+WWU!E78</f>
        <v>-0.53293800000000002</v>
      </c>
      <c r="F78" s="62">
        <f>Cadent!F78+NGN!F78+SGN!F78+WWU!F78</f>
        <v>0</v>
      </c>
      <c r="G78" s="62">
        <f>Cadent!G78+NGN!G78+SGN!G78+WWU!G78</f>
        <v>0</v>
      </c>
      <c r="H78" s="62">
        <f>Cadent!H78+NGN!H78+SGN!H78+WWU!H78</f>
        <v>0</v>
      </c>
      <c r="J78" s="65">
        <f>Cadent!J78+NGN!J78+SGN!J78+WWU!J78</f>
        <v>-0.53293800000000002</v>
      </c>
      <c r="K78" s="66">
        <f>Cadent!K78+NGN!K78+SGN!K78+WWU!K78</f>
        <v>-0.53293800000000002</v>
      </c>
    </row>
    <row r="79" spans="2:11">
      <c r="B79" s="8" t="s">
        <v>172</v>
      </c>
      <c r="C79" s="64" t="s">
        <v>178</v>
      </c>
      <c r="D79" s="62">
        <f>Cadent!D79+NGN!D79+SGN!D79+WWU!D79</f>
        <v>0</v>
      </c>
      <c r="E79" s="62">
        <f>Cadent!E79+NGN!E79+SGN!E79+WWU!E79</f>
        <v>0</v>
      </c>
      <c r="F79" s="62">
        <f>Cadent!F79+NGN!F79+SGN!F79+WWU!F79</f>
        <v>0</v>
      </c>
      <c r="G79" s="62">
        <f>Cadent!G79+NGN!G79+SGN!G79+WWU!G79</f>
        <v>0</v>
      </c>
      <c r="H79" s="62">
        <f>Cadent!H79+NGN!H79+SGN!H79+WWU!H79</f>
        <v>0</v>
      </c>
      <c r="J79" s="65">
        <f>Cadent!J79+NGN!J79+SGN!J79+WWU!J79</f>
        <v>0</v>
      </c>
      <c r="K79" s="66">
        <f>Cadent!K79+NGN!K79+SGN!K79+WWU!K79</f>
        <v>0</v>
      </c>
    </row>
    <row r="80" spans="2:11">
      <c r="B80" s="8" t="s">
        <v>172</v>
      </c>
      <c r="C80" s="64" t="s">
        <v>178</v>
      </c>
      <c r="D80" s="62">
        <f>Cadent!D80+NGN!D80+SGN!D80+WWU!D80</f>
        <v>0</v>
      </c>
      <c r="E80" s="62">
        <f>Cadent!E80+NGN!E80+SGN!E80+WWU!E80</f>
        <v>0</v>
      </c>
      <c r="F80" s="62">
        <f>Cadent!F80+NGN!F80+SGN!F80+WWU!F80</f>
        <v>0</v>
      </c>
      <c r="G80" s="62">
        <f>Cadent!G80+NGN!G80+SGN!G80+WWU!G80</f>
        <v>0</v>
      </c>
      <c r="H80" s="62">
        <f>Cadent!H80+NGN!H80+SGN!H80+WWU!H80</f>
        <v>0</v>
      </c>
      <c r="J80" s="65">
        <f>Cadent!J80+NGN!J80+SGN!J80+WWU!J80</f>
        <v>0</v>
      </c>
      <c r="K80" s="66">
        <f>Cadent!K80+NGN!K80+SGN!K80+WWU!K80</f>
        <v>0</v>
      </c>
    </row>
    <row r="81" spans="2:13">
      <c r="B81" s="8" t="s">
        <v>172</v>
      </c>
      <c r="C81" s="64" t="s">
        <v>178</v>
      </c>
      <c r="D81" s="62">
        <f>Cadent!D81+NGN!D81+SGN!D81+WWU!D81</f>
        <v>0</v>
      </c>
      <c r="E81" s="62">
        <f>Cadent!E81+NGN!E81+SGN!E81+WWU!E81</f>
        <v>0</v>
      </c>
      <c r="F81" s="62">
        <f>Cadent!F81+NGN!F81+SGN!F81+WWU!F81</f>
        <v>0</v>
      </c>
      <c r="G81" s="62">
        <f>Cadent!G81+NGN!G81+SGN!G81+WWU!G81</f>
        <v>0</v>
      </c>
      <c r="H81" s="62">
        <f>Cadent!H81+NGN!H81+SGN!H81+WWU!H81</f>
        <v>0</v>
      </c>
      <c r="J81" s="65">
        <f>Cadent!J81+NGN!J81+SGN!J81+WWU!J81</f>
        <v>0</v>
      </c>
      <c r="K81" s="66">
        <f>Cadent!K81+NGN!K81+SGN!K81+WWU!K81</f>
        <v>0</v>
      </c>
    </row>
    <row r="82" spans="2:13">
      <c r="B82" s="8" t="s">
        <v>121</v>
      </c>
      <c r="C82" s="64" t="s">
        <v>178</v>
      </c>
      <c r="D82" s="62">
        <f>Cadent!D82+NGN!D82+SGN!D82+WWU!D82</f>
        <v>-5.6766253779712539</v>
      </c>
      <c r="E82" s="62">
        <f>Cadent!E82+NGN!E82+SGN!E82+WWU!E82</f>
        <v>-8.0260662879595657</v>
      </c>
      <c r="F82" s="62">
        <f>Cadent!F82+NGN!F82+SGN!F82+WWU!F82</f>
        <v>-7.5203565759745628</v>
      </c>
      <c r="G82" s="62">
        <f>Cadent!G82+NGN!G82+SGN!G82+WWU!G82</f>
        <v>-2.7422653593315989</v>
      </c>
      <c r="H82" s="62">
        <f>Cadent!H82+NGN!H82+SGN!H82+WWU!H82</f>
        <v>-2.7005942519591803</v>
      </c>
      <c r="J82" s="65">
        <f>Cadent!J82+NGN!J82+SGN!J82+WWU!J82</f>
        <v>-21.223048241905381</v>
      </c>
      <c r="K82" s="66">
        <f>Cadent!K82+NGN!K82+SGN!K82+WWU!K82</f>
        <v>-26.665907853196163</v>
      </c>
    </row>
    <row r="83" spans="2:13">
      <c r="B83" s="32" t="s">
        <v>122</v>
      </c>
      <c r="C83" s="64" t="s">
        <v>178</v>
      </c>
      <c r="D83" s="81">
        <f>SUM(D65:D82)</f>
        <v>448.13318682649384</v>
      </c>
      <c r="E83" s="82">
        <f t="shared" ref="E83:H83" si="33">SUM(E65:E82)</f>
        <v>361.43662649664458</v>
      </c>
      <c r="F83" s="82">
        <f t="shared" si="33"/>
        <v>330.50880391826792</v>
      </c>
      <c r="G83" s="82">
        <f t="shared" si="33"/>
        <v>287.92830268485227</v>
      </c>
      <c r="H83" s="82">
        <f t="shared" si="33"/>
        <v>354.09767657680351</v>
      </c>
      <c r="J83" s="83">
        <f>SUM(J65:J82)</f>
        <v>1140.0786172414062</v>
      </c>
      <c r="K83" s="84">
        <f>SUM(K65:K82)</f>
        <v>1782.1045965030623</v>
      </c>
    </row>
    <row r="84" spans="2:13">
      <c r="B84" s="8" t="s">
        <v>123</v>
      </c>
      <c r="C84" s="64" t="s">
        <v>178</v>
      </c>
      <c r="D84" s="80">
        <f>Cadent!D84+NGN!D84+SGN!D84+WWU!D84</f>
        <v>168.38970650317728</v>
      </c>
      <c r="E84" s="80">
        <f>Cadent!E84+NGN!E84+SGN!E84+WWU!E84</f>
        <v>410.13321473841813</v>
      </c>
      <c r="F84" s="80">
        <f>Cadent!F84+NGN!F84+SGN!F84+WWU!F84</f>
        <v>264.22225408073342</v>
      </c>
      <c r="G84" s="80">
        <f>Cadent!G84+NGN!G84+SGN!G84+WWU!G84</f>
        <v>77.220712309223288</v>
      </c>
      <c r="H84" s="80">
        <f>Cadent!H84+NGN!H84+SGN!H84+WWU!H84</f>
        <v>-17.660000641173717</v>
      </c>
      <c r="J84" s="80">
        <f>Cadent!J84+NGN!J84+SGN!J84+WWU!J84</f>
        <v>842.74517532232903</v>
      </c>
      <c r="K84" s="80">
        <f>Cadent!K84+NGN!K84+SGN!K84+WWU!K84</f>
        <v>902.30588699037867</v>
      </c>
      <c r="M84" s="198"/>
    </row>
    <row r="85" spans="2:13">
      <c r="B85" s="8" t="s">
        <v>179</v>
      </c>
      <c r="C85" s="64" t="s">
        <v>178</v>
      </c>
      <c r="D85" s="80">
        <f>Cadent!D85+NGN!D85+SGN!D85+WWU!D85</f>
        <v>-6.1806049003397465</v>
      </c>
      <c r="E85" s="80">
        <f>Cadent!E85+NGN!E85+SGN!E85+WWU!E85</f>
        <v>9.9418709911244463</v>
      </c>
      <c r="F85" s="80">
        <f>Cadent!F85+NGN!F85+SGN!F85+WWU!F85</f>
        <v>13.21574320777048</v>
      </c>
      <c r="G85" s="80">
        <f>Cadent!G85+NGN!G85+SGN!G85+WWU!G85</f>
        <v>-0.75481609697984453</v>
      </c>
      <c r="H85" s="80">
        <f>Cadent!H85+NGN!H85+SGN!H85+WWU!H85</f>
        <v>-16.154456305635115</v>
      </c>
      <c r="J85" s="80">
        <f>Cadent!J85+NGN!J85+SGN!J85+WWU!J85</f>
        <v>16.977009298555181</v>
      </c>
      <c r="K85" s="80">
        <f>Cadent!K85+NGN!K85+SGN!K85+WWU!K85</f>
        <v>6.7736895940218034E-2</v>
      </c>
    </row>
    <row r="86" spans="2:13">
      <c r="B86" s="8" t="s">
        <v>124</v>
      </c>
      <c r="C86" s="64" t="s">
        <v>178</v>
      </c>
      <c r="D86" s="80">
        <f>Cadent!D86+NGN!D86+SGN!D86+WWU!D86</f>
        <v>34.327947444789494</v>
      </c>
      <c r="E86" s="80">
        <f>Cadent!E86+NGN!E86+SGN!E86+WWU!E86</f>
        <v>5.4430863582386362</v>
      </c>
      <c r="F86" s="80">
        <f>Cadent!F86+NGN!F86+SGN!F86+WWU!F86</f>
        <v>-15.605392127898696</v>
      </c>
      <c r="G86" s="80">
        <f>Cadent!G86+NGN!G86+SGN!G86+WWU!G86</f>
        <v>92.582353003518676</v>
      </c>
      <c r="H86" s="80">
        <f>Cadent!H86+NGN!H86+SGN!H86+WWU!H86</f>
        <v>29.071835012212276</v>
      </c>
      <c r="J86" s="80">
        <f>Cadent!J86+NGN!J86+SGN!J86+WWU!J86</f>
        <v>24.165641675129429</v>
      </c>
      <c r="K86" s="80">
        <f>Cadent!K86+NGN!K86+SGN!K86+WWU!K86</f>
        <v>145.81982969086039</v>
      </c>
    </row>
    <row r="87" spans="2:13">
      <c r="B87" s="8" t="s">
        <v>180</v>
      </c>
      <c r="C87" s="64" t="s">
        <v>178</v>
      </c>
      <c r="D87" s="80">
        <f>Cadent!D87+NGN!D87+SGN!D87+WWU!D87</f>
        <v>1.1743149310645533</v>
      </c>
      <c r="E87" s="80">
        <f>Cadent!E87+NGN!E87+SGN!E87+WWU!E87</f>
        <v>-1.8889554883136501</v>
      </c>
      <c r="F87" s="80">
        <f>Cadent!F87+NGN!F87+SGN!F87+WWU!F87</f>
        <v>-3.3039358019426146</v>
      </c>
      <c r="G87" s="80">
        <f>Cadent!G87+NGN!G87+SGN!G87+WWU!G87</f>
        <v>0.1887040242449558</v>
      </c>
      <c r="H87" s="80">
        <f>Cadent!H87+NGN!H87+SGN!H87+WWU!H87</f>
        <v>4.0386140764087823</v>
      </c>
      <c r="J87" s="80">
        <f>Cadent!J87+NGN!J87+SGN!J87+WWU!J87</f>
        <v>-4.0185763591917114</v>
      </c>
      <c r="K87" s="80">
        <f>Cadent!K87+NGN!K87+SGN!K87+WWU!K87</f>
        <v>0.20874174146202673</v>
      </c>
    </row>
    <row r="88" spans="2:13">
      <c r="B88" s="32" t="s">
        <v>125</v>
      </c>
      <c r="C88" s="64" t="s">
        <v>178</v>
      </c>
      <c r="D88" s="90">
        <f>SUM(D83:D87)</f>
        <v>645.84455080518546</v>
      </c>
      <c r="E88" s="85">
        <f t="shared" ref="E88:H88" si="34">SUM(E83:E87)</f>
        <v>785.06584309611219</v>
      </c>
      <c r="F88" s="85">
        <f t="shared" si="34"/>
        <v>589.03747327693054</v>
      </c>
      <c r="G88" s="85">
        <f t="shared" si="34"/>
        <v>457.16525592485937</v>
      </c>
      <c r="H88" s="85">
        <f t="shared" si="34"/>
        <v>353.39366871861574</v>
      </c>
      <c r="J88" s="60">
        <f>SUM(J83:J87)</f>
        <v>2019.9478671782281</v>
      </c>
      <c r="K88" s="61">
        <f>SUM(K83:K87)</f>
        <v>2830.5067918217032</v>
      </c>
    </row>
    <row r="89" spans="2:13">
      <c r="C89" s="64"/>
      <c r="D89" s="86"/>
    </row>
    <row r="90" spans="2:13">
      <c r="B90" s="8" t="s">
        <v>181</v>
      </c>
      <c r="C90" s="64" t="s">
        <v>178</v>
      </c>
      <c r="D90" s="80">
        <f>Cadent!D90+NGN!D90+SGN!D90+WWU!D90</f>
        <v>7811.9673824618912</v>
      </c>
      <c r="E90" s="80">
        <f>Cadent!E90+NGN!E90+SGN!E90+WWU!E90</f>
        <v>7883.3706309771087</v>
      </c>
      <c r="F90" s="80">
        <f>Cadent!F90+NGN!F90+SGN!F90+WWU!F90</f>
        <v>7950.0681626221158</v>
      </c>
      <c r="G90" s="80">
        <f>Cadent!G90+NGN!G90+SGN!G90+WWU!G90</f>
        <v>8034.8920725137787</v>
      </c>
      <c r="H90" s="80">
        <f>Cadent!H90+NGN!H90+SGN!H90+WWU!H90</f>
        <v>8125.4548019085742</v>
      </c>
    </row>
    <row r="91" spans="2:13">
      <c r="B91" s="8" t="s">
        <v>182</v>
      </c>
      <c r="C91" s="64" t="s">
        <v>178</v>
      </c>
      <c r="D91" s="80">
        <f>Cadent!D91+NGN!D91+SGN!D91+WWU!D91</f>
        <v>6934.9033765580234</v>
      </c>
      <c r="E91" s="80">
        <f>Cadent!E91+NGN!E91+SGN!E91+WWU!E91</f>
        <v>7502.6037202961124</v>
      </c>
      <c r="F91" s="80">
        <f>Cadent!F91+NGN!F91+SGN!F91+WWU!F91</f>
        <v>7925.3785455619509</v>
      </c>
      <c r="G91" s="80">
        <f>Cadent!G91+NGN!G91+SGN!G91+WWU!G91</f>
        <v>7751.1486148188069</v>
      </c>
      <c r="H91" s="80">
        <f>Cadent!H91+NGN!H91+SGN!H91+WWU!H91</f>
        <v>7436.647752589045</v>
      </c>
    </row>
    <row r="94" spans="2:13">
      <c r="B94" s="32" t="s">
        <v>183</v>
      </c>
      <c r="D94" s="87" t="str">
        <f t="shared" ref="D94:H95" si="35">D6</f>
        <v>Actuals</v>
      </c>
      <c r="E94" s="87" t="str">
        <f t="shared" si="35"/>
        <v>Actuals</v>
      </c>
      <c r="F94" s="87" t="str">
        <f t="shared" si="35"/>
        <v>Actuals</v>
      </c>
      <c r="G94" s="87" t="str">
        <f t="shared" si="35"/>
        <v>Forecast</v>
      </c>
      <c r="H94" s="87" t="str">
        <f t="shared" si="35"/>
        <v>Forecast</v>
      </c>
    </row>
    <row r="95" spans="2:13" ht="25.2">
      <c r="D95" s="88">
        <f t="shared" si="35"/>
        <v>2022</v>
      </c>
      <c r="E95" s="88">
        <f t="shared" si="35"/>
        <v>2023</v>
      </c>
      <c r="F95" s="88">
        <f t="shared" si="35"/>
        <v>2024</v>
      </c>
      <c r="G95" s="88">
        <f t="shared" si="35"/>
        <v>2025</v>
      </c>
      <c r="H95" s="88">
        <f t="shared" si="35"/>
        <v>2026</v>
      </c>
      <c r="J95" s="59" t="str">
        <f>J7</f>
        <v>Cumulative to 2024</v>
      </c>
      <c r="K95" s="59" t="str">
        <f>K7</f>
        <v>RIIO-2 period</v>
      </c>
    </row>
    <row r="96" spans="2:13">
      <c r="B96" s="8" t="str">
        <f>Cadent!B96</f>
        <v>Latest Totex actuals/forecast</v>
      </c>
      <c r="C96" s="34" t="str">
        <f>Cadent!C96</f>
        <v>£m 18/19</v>
      </c>
      <c r="D96" s="80">
        <f>Cadent!D96+NGN!D96+SGN!D96+WWU!D96</f>
        <v>1865.9371919333914</v>
      </c>
      <c r="E96" s="80">
        <f>Cadent!E96+NGN!E96+SGN!E96+WWU!E96</f>
        <v>2040.0884965865173</v>
      </c>
      <c r="F96" s="80">
        <f>Cadent!F96+NGN!F96+SGN!F96+WWU!F96</f>
        <v>2277.1918979263637</v>
      </c>
      <c r="G96" s="80">
        <f>Cadent!G96+NGN!G96+SGN!G96+WWU!G96</f>
        <v>2443.2836378156749</v>
      </c>
      <c r="H96" s="80">
        <f>Cadent!H96+NGN!H96+SGN!H96+WWU!H96</f>
        <v>2312.8853728040635</v>
      </c>
      <c r="I96" s="8"/>
      <c r="J96" s="80">
        <f>Cadent!J96+NGN!J96+SGN!J96+WWU!J96</f>
        <v>6183.2175864462733</v>
      </c>
      <c r="K96" s="80">
        <f>Cadent!K96+NGN!K96+SGN!K96+WWU!K96</f>
        <v>10939.386597066012</v>
      </c>
    </row>
    <row r="97" spans="2:11" ht="25.2">
      <c r="B97" s="36" t="str">
        <f>Cadent!B97</f>
        <v>Totex allowance 
   including allowed adjustments and uncertainty mechanisms</v>
      </c>
      <c r="C97" s="34" t="str">
        <f>Cadent!C97</f>
        <v>£m 18/19</v>
      </c>
      <c r="D97" s="80">
        <f>Cadent!D97+NGN!D97+SGN!D97+WWU!D97</f>
        <v>2093.1650782565475</v>
      </c>
      <c r="E97" s="80">
        <f>Cadent!E97+NGN!E97+SGN!E97+WWU!E97</f>
        <v>2083.3742490248064</v>
      </c>
      <c r="F97" s="80">
        <f>Cadent!F97+NGN!F97+SGN!F97+WWU!F97</f>
        <v>2068.10395158033</v>
      </c>
      <c r="G97" s="80">
        <f>Cadent!G97+NGN!G97+SGN!G97+WWU!G97</f>
        <v>2070.3074366753708</v>
      </c>
      <c r="H97" s="80">
        <f>Cadent!H97+NGN!H97+SGN!H97+WWU!H97</f>
        <v>2081.3024908589978</v>
      </c>
      <c r="I97" s="8"/>
      <c r="J97" s="80">
        <f>Cadent!J97+NGN!J97+SGN!J97+WWU!J97</f>
        <v>6244.6432788616839</v>
      </c>
      <c r="K97" s="80">
        <f>Cadent!K97+NGN!K97+SGN!K97+WWU!K97</f>
        <v>10396.253206396053</v>
      </c>
    </row>
    <row r="98" spans="2:11">
      <c r="B98" s="32" t="str">
        <f>Cadent!B98</f>
        <v>Totex out(under)performance (excluding enduring value adjustments)</v>
      </c>
      <c r="C98" s="34" t="str">
        <f>Cadent!C98</f>
        <v>£m 18/19</v>
      </c>
      <c r="D98" s="89">
        <f>Cadent!D98+NGN!D98+SGN!D98+WWU!D98</f>
        <v>227.22788632315638</v>
      </c>
      <c r="E98" s="89">
        <f>Cadent!E98+NGN!E98+SGN!E98+WWU!E98</f>
        <v>43.285752438289343</v>
      </c>
      <c r="F98" s="89">
        <f>Cadent!F98+NGN!F98+SGN!F98+WWU!F98</f>
        <v>-209.08794634603402</v>
      </c>
      <c r="G98" s="89">
        <f>Cadent!G98+NGN!G98+SGN!G98+WWU!G98</f>
        <v>-372.97620114030462</v>
      </c>
      <c r="H98" s="89">
        <f>Cadent!H98+NGN!H98+SGN!H98+WWU!H98</f>
        <v>-231.58288194506611</v>
      </c>
      <c r="I98" s="32"/>
      <c r="J98" s="89">
        <f>Cadent!J98+NGN!J98+SGN!J98+WWU!J98</f>
        <v>61.425692415411532</v>
      </c>
      <c r="K98" s="89">
        <f>Cadent!K98+NGN!K98+SGN!K98+WWU!K98</f>
        <v>-543.13339066995923</v>
      </c>
    </row>
    <row r="99" spans="2:11">
      <c r="B99" s="8" t="str">
        <f>Cadent!B99</f>
        <v>Total enduring value adjustments</v>
      </c>
      <c r="C99" s="37" t="str">
        <f>Cadent!C99</f>
        <v>£m 18/19</v>
      </c>
      <c r="D99" s="80">
        <f>Cadent!D99+NGN!D99+SGN!D99+WWU!D99</f>
        <v>-42.87</v>
      </c>
      <c r="E99" s="80">
        <f>Cadent!E99+NGN!E99+SGN!E99+WWU!E99</f>
        <v>-43.1</v>
      </c>
      <c r="F99" s="80">
        <f>Cadent!F99+NGN!F99+SGN!F99+WWU!F99</f>
        <v>21.5</v>
      </c>
      <c r="G99" s="80">
        <f>Cadent!G99+NGN!G99+SGN!G99+WWU!G99</f>
        <v>36.299999999999997</v>
      </c>
      <c r="H99" s="80">
        <f>Cadent!H99+NGN!H99+SGN!H99+WWU!H99</f>
        <v>28.200000000000003</v>
      </c>
      <c r="I99" s="8"/>
      <c r="J99" s="80">
        <f>Cadent!J99+NGN!J99+SGN!J99+WWU!J99</f>
        <v>-64.47</v>
      </c>
      <c r="K99" s="80">
        <f>Cadent!K99+NGN!K99+SGN!K99+WWU!K99</f>
        <v>3.0000000000000249E-2</v>
      </c>
    </row>
    <row r="100" spans="2:11">
      <c r="B100" s="32" t="str">
        <f>Cadent!B100</f>
        <v>Totex out(under)performance (including enduring value adjustments)</v>
      </c>
      <c r="C100" s="37" t="str">
        <f>Cadent!C100</f>
        <v>£m 18/19</v>
      </c>
      <c r="D100" s="89">
        <f>Cadent!D100+NGN!D100+SGN!D100+WWU!D100</f>
        <v>184.35788632315638</v>
      </c>
      <c r="E100" s="89">
        <f>Cadent!E100+NGN!E100+SGN!E100+WWU!E100</f>
        <v>0.18575243828934163</v>
      </c>
      <c r="F100" s="89">
        <f>Cadent!F100+NGN!F100+SGN!F100+WWU!F100</f>
        <v>-187.58794634603402</v>
      </c>
      <c r="G100" s="89">
        <f>Cadent!G100+NGN!G100+SGN!G100+WWU!G100</f>
        <v>-336.67620114030461</v>
      </c>
      <c r="H100" s="89">
        <f>Cadent!H100+NGN!H100+SGN!H100+WWU!H100</f>
        <v>-203.38288194506612</v>
      </c>
      <c r="I100" s="32"/>
      <c r="J100" s="89">
        <f>Cadent!J100+NGN!J100+SGN!J100+WWU!J100</f>
        <v>-3.0443075845884664</v>
      </c>
      <c r="K100" s="89">
        <f>Cadent!K100+NGN!K100+SGN!K100+WWU!K100</f>
        <v>-543.10339066995925</v>
      </c>
    </row>
    <row r="101" spans="2:11">
      <c r="B101" s="32" t="str">
        <f>Cadent!B101</f>
        <v>% Totex out/(under) performance</v>
      </c>
      <c r="C101" s="37" t="str">
        <f>Cadent!C101</f>
        <v>%</v>
      </c>
      <c r="D101" s="57">
        <f t="shared" ref="D101:H101" si="36">D100/D97</f>
        <v>8.8076133238718532E-2</v>
      </c>
      <c r="E101" s="57">
        <f t="shared" si="36"/>
        <v>8.9159419329623235E-5</v>
      </c>
      <c r="F101" s="57">
        <f t="shared" si="36"/>
        <v>-9.0705279201603844E-2</v>
      </c>
      <c r="G101" s="57">
        <f t="shared" si="36"/>
        <v>-0.16262135525193316</v>
      </c>
      <c r="H101" s="57">
        <f t="shared" si="36"/>
        <v>-9.7719040282859451E-2</v>
      </c>
      <c r="J101" s="57">
        <f>J100/J97</f>
        <v>-4.8750704382002804E-4</v>
      </c>
      <c r="K101" s="57">
        <f>K100/K97</f>
        <v>-5.2240300412828296E-2</v>
      </c>
    </row>
    <row r="102" spans="2:11">
      <c r="K102" s="35"/>
    </row>
  </sheetData>
  <conditionalFormatting sqref="D6:G7 D94:G95">
    <cfRule type="expression" dxfId="48" priority="3">
      <formula>AND(D$6="Actuals",E$6="Forecast")</formula>
    </cfRule>
  </conditionalFormatting>
  <conditionalFormatting sqref="H6:H7 H94:H95">
    <cfRule type="expression" dxfId="47" priority="54">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5" tint="0.39997558519241921"/>
  </sheetPr>
  <dimension ref="A1:Z137"/>
  <sheetViews>
    <sheetView zoomScale="80" zoomScaleNormal="80" workbookViewId="0"/>
  </sheetViews>
  <sheetFormatPr defaultColWidth="9.26953125" defaultRowHeight="11.4"/>
  <cols>
    <col min="1" max="1" width="7.26953125" style="104" customWidth="1"/>
    <col min="2" max="2" width="51.26953125" style="308" customWidth="1"/>
    <col min="3" max="3" width="10" style="104" customWidth="1"/>
    <col min="4" max="8" width="11.36328125" style="104" customWidth="1"/>
    <col min="9" max="9" width="3.6328125" style="104" customWidth="1"/>
    <col min="10" max="10" width="13.7265625" style="104" customWidth="1"/>
    <col min="11" max="11" width="14.7265625" style="104" customWidth="1"/>
    <col min="12" max="12" width="5.08984375" style="104" customWidth="1"/>
    <col min="13" max="16384" width="9.26953125" style="104"/>
  </cols>
  <sheetData>
    <row r="1" spans="1:13" s="111" customFormat="1" ht="57" customHeight="1"/>
    <row r="2" spans="1:13" ht="15.6">
      <c r="A2" s="419" t="s">
        <v>162</v>
      </c>
      <c r="B2" s="346"/>
      <c r="C2" s="347"/>
      <c r="D2" s="347"/>
      <c r="E2" s="347"/>
      <c r="F2" s="347"/>
      <c r="G2" s="347"/>
      <c r="H2" s="347"/>
      <c r="I2" s="348"/>
      <c r="J2" s="348"/>
      <c r="K2" s="348"/>
      <c r="L2" s="349" t="s">
        <v>30</v>
      </c>
    </row>
    <row r="3" spans="1:13" ht="15.6">
      <c r="A3" s="425" t="s">
        <v>12</v>
      </c>
      <c r="B3" s="350"/>
      <c r="C3" s="351"/>
      <c r="D3" s="351"/>
      <c r="E3" s="351"/>
      <c r="F3" s="351"/>
      <c r="G3" s="351"/>
      <c r="H3" s="351"/>
      <c r="I3" s="352"/>
      <c r="J3" s="352"/>
      <c r="K3" s="352"/>
      <c r="L3" s="353"/>
    </row>
    <row r="4" spans="1:13" ht="15.6">
      <c r="A4" s="430">
        <f>Data!B3</f>
        <v>2024</v>
      </c>
      <c r="B4" s="354"/>
      <c r="C4" s="355"/>
      <c r="D4" s="355"/>
      <c r="E4" s="355"/>
      <c r="F4" s="355"/>
      <c r="G4" s="355"/>
      <c r="H4" s="355"/>
      <c r="I4" s="356"/>
      <c r="J4" s="356"/>
      <c r="K4" s="356"/>
      <c r="L4" s="357"/>
    </row>
    <row r="5" spans="1:13" ht="12.75" customHeight="1">
      <c r="J5" s="358"/>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GD!B11</f>
        <v>Allowed Equity Return</v>
      </c>
      <c r="C11" s="370" t="s">
        <v>163</v>
      </c>
      <c r="D11" s="284">
        <f>D65/D$90</f>
        <v>4.5181881000000007E-2</v>
      </c>
      <c r="E11" s="371">
        <f t="shared" ref="D11:H18" si="1">E65/E$90</f>
        <v>4.5568104999999998E-2</v>
      </c>
      <c r="F11" s="371">
        <f t="shared" si="1"/>
        <v>5.2833943999999994E-2</v>
      </c>
      <c r="G11" s="371">
        <f t="shared" si="1"/>
        <v>5.5875458000000003E-2</v>
      </c>
      <c r="H11" s="371">
        <f t="shared" si="1"/>
        <v>5.5175426999999985E-2</v>
      </c>
      <c r="I11" s="194"/>
      <c r="J11" s="284">
        <f>AVERAGE(D65:INDEX(D65:H65,0,MATCH(Data!$B$3,$D$7:$H$7,0)))/AVERAGE($D$90:INDEX($D$90:$H$90,0,MATCH(Data!$B$3,$D$7:$H$7,0)))</f>
        <v>4.7885726819231374E-2</v>
      </c>
      <c r="K11" s="285">
        <f t="shared" ref="K11:K18" si="2">AVERAGE(D65:H65)/AVERAGE($D$90:$H$90)</f>
        <v>5.0984012715560717E-2</v>
      </c>
    </row>
    <row r="12" spans="1:13">
      <c r="B12" s="369" t="str">
        <f>GD!B12</f>
        <v>Totex outperformance</v>
      </c>
      <c r="C12" s="370" t="s">
        <v>163</v>
      </c>
      <c r="D12" s="282">
        <f t="shared" si="1"/>
        <v>7.5208810828609413E-3</v>
      </c>
      <c r="E12" s="283">
        <f t="shared" si="1"/>
        <v>-6.9086021783804959E-3</v>
      </c>
      <c r="F12" s="283">
        <f t="shared" si="1"/>
        <v>-1.5195205854172302E-2</v>
      </c>
      <c r="G12" s="283">
        <f t="shared" si="1"/>
        <v>-1.5927373837383962E-2</v>
      </c>
      <c r="H12" s="283">
        <f t="shared" si="1"/>
        <v>-1.2107714742535573E-2</v>
      </c>
      <c r="I12" s="194"/>
      <c r="J12" s="284">
        <f>AVERAGE(D66:INDEX(D66:H66,0,MATCH(Data!$B$3,$D$7:$H$7,0)))/AVERAGE($D$90:INDEX($D$90:$H$90,0,MATCH(Data!$B$3,$D$7:$H$7,0)))</f>
        <v>-4.9359834640132902E-3</v>
      </c>
      <c r="K12" s="285">
        <f t="shared" si="2"/>
        <v>-8.6163068319041695E-3</v>
      </c>
      <c r="M12" s="194"/>
    </row>
    <row r="13" spans="1:13">
      <c r="B13" s="369" t="str">
        <f>GD!B13</f>
        <v>Business Plan Incentive</v>
      </c>
      <c r="C13" s="370" t="s">
        <v>163</v>
      </c>
      <c r="D13" s="282">
        <f t="shared" si="1"/>
        <v>5.884232002335309E-5</v>
      </c>
      <c r="E13" s="283">
        <f t="shared" si="1"/>
        <v>5.8214021120302253E-5</v>
      </c>
      <c r="F13" s="283">
        <f t="shared" si="1"/>
        <v>5.7696550978896654E-5</v>
      </c>
      <c r="G13" s="283">
        <f t="shared" si="1"/>
        <v>5.7154058372497613E-5</v>
      </c>
      <c r="H13" s="283">
        <f t="shared" si="1"/>
        <v>5.6646453609506517E-5</v>
      </c>
      <c r="I13" s="194"/>
      <c r="J13" s="284">
        <f>AVERAGE(D67:INDEX(D67:H67,0,MATCH(Data!$B$3,$D$7:$H$7,0)))/AVERAGE($D$90:INDEX($D$90:$H$90,0,MATCH(Data!$B$3,$D$7:$H$7,0)))</f>
        <v>5.8247199650988016E-5</v>
      </c>
      <c r="K13" s="285">
        <f t="shared" si="2"/>
        <v>5.7700375927620474E-5</v>
      </c>
    </row>
    <row r="14" spans="1:13">
      <c r="B14" s="369" t="str">
        <f>GD!B14</f>
        <v>Customer Satisfaction Survey ODI</v>
      </c>
      <c r="C14" s="370" t="s">
        <v>163</v>
      </c>
      <c r="D14" s="282">
        <f t="shared" si="1"/>
        <v>7.7847236019649199E-4</v>
      </c>
      <c r="E14" s="283">
        <f t="shared" si="1"/>
        <v>1.2911177192290943E-3</v>
      </c>
      <c r="F14" s="283">
        <f t="shared" si="1"/>
        <v>1.5340005423185514E-3</v>
      </c>
      <c r="G14" s="283">
        <f t="shared" si="1"/>
        <v>1.846148468709081E-3</v>
      </c>
      <c r="H14" s="283">
        <f t="shared" si="1"/>
        <v>1.952971123288744E-3</v>
      </c>
      <c r="I14" s="194"/>
      <c r="J14" s="284">
        <f>AVERAGE(D68:INDEX(D68:H68,0,MATCH(Data!$B$3,$D$7:$H$7,0)))/AVERAGE($D$90:INDEX($D$90:$H$90,0,MATCH(Data!$B$3,$D$7:$H$7,0)))</f>
        <v>1.2036978218892306E-3</v>
      </c>
      <c r="K14" s="285">
        <f t="shared" si="2"/>
        <v>1.4860588937783952E-3</v>
      </c>
    </row>
    <row r="15" spans="1:13">
      <c r="B15" s="369" t="str">
        <f>GD!B15</f>
        <v>Complaints metric ODI</v>
      </c>
      <c r="C15" s="370" t="s">
        <v>163</v>
      </c>
      <c r="D15" s="282">
        <f t="shared" si="1"/>
        <v>0</v>
      </c>
      <c r="E15" s="283">
        <f t="shared" si="1"/>
        <v>0</v>
      </c>
      <c r="F15" s="283">
        <f t="shared" si="1"/>
        <v>0</v>
      </c>
      <c r="G15" s="283">
        <f t="shared" si="1"/>
        <v>0</v>
      </c>
      <c r="H15" s="283">
        <f t="shared" si="1"/>
        <v>0</v>
      </c>
      <c r="I15" s="194"/>
      <c r="J15" s="284">
        <f>AVERAGE(D69:INDEX(D69:H69,0,MATCH(Data!$B$3,$D$7:$H$7,0)))/AVERAGE($D$90:INDEX($D$90:$H$90,0,MATCH(Data!$B$3,$D$7:$H$7,0)))</f>
        <v>0</v>
      </c>
      <c r="K15" s="285">
        <f t="shared" si="2"/>
        <v>0</v>
      </c>
    </row>
    <row r="16" spans="1:13">
      <c r="B16" s="369" t="str">
        <f>GD!B16</f>
        <v>Unplanned Interruption Mean Duration ODI [NGN, SGN and WWU]</v>
      </c>
      <c r="C16" s="370" t="s">
        <v>163</v>
      </c>
      <c r="D16" s="282">
        <f t="shared" si="1"/>
        <v>0</v>
      </c>
      <c r="E16" s="283">
        <f t="shared" si="1"/>
        <v>0</v>
      </c>
      <c r="F16" s="283">
        <f t="shared" si="1"/>
        <v>0</v>
      </c>
      <c r="G16" s="283">
        <f t="shared" si="1"/>
        <v>0</v>
      </c>
      <c r="H16" s="283">
        <f t="shared" si="1"/>
        <v>0</v>
      </c>
      <c r="I16" s="194"/>
      <c r="J16" s="284">
        <f>AVERAGE(D70:INDEX(D70:H70,0,MATCH(Data!$B$3,$D$7:$H$7,0)))/AVERAGE($D$90:INDEX($D$90:$H$90,0,MATCH(Data!$B$3,$D$7:$H$7,0)))</f>
        <v>0</v>
      </c>
      <c r="K16" s="285">
        <f t="shared" si="2"/>
        <v>0</v>
      </c>
    </row>
    <row r="17" spans="2:11">
      <c r="B17" s="369" t="str">
        <f>GD!B17</f>
        <v>Unplanned Interruption Mean Duration ODI [Cadent only]</v>
      </c>
      <c r="C17" s="370" t="s">
        <v>163</v>
      </c>
      <c r="D17" s="282">
        <f t="shared" si="1"/>
        <v>0</v>
      </c>
      <c r="E17" s="283">
        <f t="shared" si="1"/>
        <v>0</v>
      </c>
      <c r="F17" s="283">
        <f t="shared" si="1"/>
        <v>0</v>
      </c>
      <c r="G17" s="283">
        <f t="shared" si="1"/>
        <v>0</v>
      </c>
      <c r="H17" s="283">
        <f t="shared" si="1"/>
        <v>0</v>
      </c>
      <c r="I17" s="194"/>
      <c r="J17" s="284">
        <f>AVERAGE(D71:INDEX(D71:H71,0,MATCH(Data!$B$3,$D$7:$H$7,0)))/AVERAGE($D$90:INDEX($D$90:$H$90,0,MATCH(Data!$B$3,$D$7:$H$7,0)))</f>
        <v>0</v>
      </c>
      <c r="K17" s="285">
        <f t="shared" si="2"/>
        <v>0</v>
      </c>
    </row>
    <row r="18" spans="2:11">
      <c r="B18" s="369" t="str">
        <f>GD!B18</f>
        <v>Shrinkage Management ODI</v>
      </c>
      <c r="C18" s="370" t="s">
        <v>163</v>
      </c>
      <c r="D18" s="282">
        <f t="shared" si="1"/>
        <v>1.676432903376158E-4</v>
      </c>
      <c r="E18" s="283">
        <f t="shared" si="1"/>
        <v>2.8023284330753312E-4</v>
      </c>
      <c r="F18" s="283">
        <f t="shared" si="1"/>
        <v>2.1060335680839033E-5</v>
      </c>
      <c r="G18" s="283">
        <f t="shared" si="1"/>
        <v>2.6291186846710783E-6</v>
      </c>
      <c r="H18" s="283">
        <f t="shared" si="1"/>
        <v>3.5008912447484581E-5</v>
      </c>
      <c r="I18" s="194"/>
      <c r="J18" s="284">
        <f>AVERAGE(D72:INDEX(D72:H72,0,MATCH(Data!$B$3,$D$7:$H$7,0)))/AVERAGE($D$90:INDEX($D$90:$H$90,0,MATCH(Data!$B$3,$D$7:$H$7,0)))</f>
        <v>1.5586722309207453E-4</v>
      </c>
      <c r="K18" s="285">
        <f t="shared" si="2"/>
        <v>1.0030526897807E-4</v>
      </c>
    </row>
    <row r="19" spans="2:11">
      <c r="B19" s="369" t="str">
        <f>GD!B19</f>
        <v>Collaborative streetworks ODI [Cadent Lon &amp; EoE, SGN So only]</v>
      </c>
      <c r="C19" s="370" t="s">
        <v>163</v>
      </c>
      <c r="D19" s="282">
        <f t="shared" ref="D19:H19" si="3">D73/D$90</f>
        <v>3.3796948906274671E-4</v>
      </c>
      <c r="E19" s="283">
        <f t="shared" si="3"/>
        <v>2.3670413728379738E-4</v>
      </c>
      <c r="F19" s="283">
        <f t="shared" si="3"/>
        <v>2.5318857963063554E-4</v>
      </c>
      <c r="G19" s="283">
        <f t="shared" si="3"/>
        <v>3.2827271083718718E-4</v>
      </c>
      <c r="H19" s="283">
        <f t="shared" si="3"/>
        <v>3.2535720848571916E-4</v>
      </c>
      <c r="I19" s="194"/>
      <c r="J19" s="284">
        <f>AVERAGE(D73:INDEX(D73:H73,0,MATCH(Data!$B$3,$D$7:$H$7,0)))/AVERAGE($D$90:INDEX($D$90:$H$90,0,MATCH(Data!$B$3,$D$7:$H$7,0)))</f>
        <v>2.7566511744780937E-4</v>
      </c>
      <c r="K19" s="285">
        <f t="shared" ref="K19" si="4">AVERAGE(D73:H73)/AVERAGE($D$90:$H$90)</f>
        <v>2.9641053311131599E-4</v>
      </c>
    </row>
    <row r="20" spans="2:11">
      <c r="B20" s="369" t="str">
        <f>GD!B20</f>
        <v>Network innovation input for RORE</v>
      </c>
      <c r="C20" s="370" t="s">
        <v>163</v>
      </c>
      <c r="D20" s="282">
        <f t="shared" ref="D20:H20" si="5">D74/D$90</f>
        <v>-1.8069093677265793E-4</v>
      </c>
      <c r="E20" s="283">
        <f t="shared" si="5"/>
        <v>-2.4490256380126877E-4</v>
      </c>
      <c r="F20" s="283">
        <f t="shared" si="5"/>
        <v>-3.1561763917191751E-4</v>
      </c>
      <c r="G20" s="283">
        <f t="shared" si="5"/>
        <v>-7.490446162384944E-4</v>
      </c>
      <c r="H20" s="283">
        <f t="shared" si="5"/>
        <v>-7.38268971795035E-4</v>
      </c>
      <c r="I20" s="194"/>
      <c r="J20" s="284">
        <f>AVERAGE(D74:INDEX(D74:H74,0,MATCH(Data!$B$3,$D$7:$H$7,0)))/AVERAGE($D$90:INDEX($D$90:$H$90,0,MATCH(Data!$B$3,$D$7:$H$7,0)))</f>
        <v>-2.4751182004697641E-4</v>
      </c>
      <c r="K20" s="285">
        <f t="shared" ref="K20:K22" si="6">AVERAGE(D74:H74)/AVERAGE($D$90:$H$90)</f>
        <v>-4.4875474172491065E-4</v>
      </c>
    </row>
    <row r="21" spans="2:11">
      <c r="B21" s="369" t="str">
        <f>GD!B21</f>
        <v>Carry-over Network innovation input for RORE</v>
      </c>
      <c r="C21" s="370" t="s">
        <v>163</v>
      </c>
      <c r="D21" s="282">
        <f t="shared" ref="D21:H21" si="7">D75/D$90</f>
        <v>-9.5267926499677306E-5</v>
      </c>
      <c r="E21" s="283">
        <f t="shared" si="7"/>
        <v>0</v>
      </c>
      <c r="F21" s="283">
        <f t="shared" si="7"/>
        <v>0</v>
      </c>
      <c r="G21" s="283">
        <f t="shared" si="7"/>
        <v>0</v>
      </c>
      <c r="H21" s="283">
        <f t="shared" si="7"/>
        <v>0</v>
      </c>
      <c r="I21" s="194"/>
      <c r="J21" s="284">
        <f>AVERAGE(D75:INDEX(D75:H75,0,MATCH(Data!$B$3,$D$7:$H$7,0)))/AVERAGE($D$90:INDEX($D$90:$H$90,0,MATCH(Data!$B$3,$D$7:$H$7,0)))</f>
        <v>-3.143480142047457E-5</v>
      </c>
      <c r="K21" s="285">
        <f t="shared" si="6"/>
        <v>-1.8683815222427237E-5</v>
      </c>
    </row>
    <row r="22" spans="2:11">
      <c r="B22" s="369" t="str">
        <f>GD!B22</f>
        <v>Strategic innovation input for RORE</v>
      </c>
      <c r="C22" s="370" t="s">
        <v>163</v>
      </c>
      <c r="D22" s="282">
        <f t="shared" ref="D22:H22" si="8">D76/D$90</f>
        <v>0</v>
      </c>
      <c r="E22" s="283">
        <f t="shared" si="8"/>
        <v>0</v>
      </c>
      <c r="F22" s="283">
        <f t="shared" si="8"/>
        <v>0</v>
      </c>
      <c r="G22" s="283">
        <f t="shared" si="8"/>
        <v>0</v>
      </c>
      <c r="H22" s="283">
        <f t="shared" si="8"/>
        <v>0</v>
      </c>
      <c r="I22" s="194"/>
      <c r="J22" s="284">
        <f>AVERAGE(D76:INDEX(D76:H76,0,MATCH(Data!$B$3,$D$7:$H$7,0)))/AVERAGE($D$90:INDEX($D$90:$H$90,0,MATCH(Data!$B$3,$D$7:$H$7,0)))</f>
        <v>0</v>
      </c>
      <c r="K22" s="285">
        <f t="shared" si="6"/>
        <v>0</v>
      </c>
    </row>
    <row r="23" spans="2:11">
      <c r="B23" s="369" t="str">
        <f>GD!B23</f>
        <v>H100 shareholder contribution</v>
      </c>
      <c r="C23" s="370" t="s">
        <v>163</v>
      </c>
      <c r="D23" s="282">
        <f t="shared" ref="D23:H23" si="9">D77/D$90</f>
        <v>0</v>
      </c>
      <c r="E23" s="283">
        <f t="shared" si="9"/>
        <v>0</v>
      </c>
      <c r="F23" s="283">
        <f t="shared" si="9"/>
        <v>0</v>
      </c>
      <c r="G23" s="283">
        <f t="shared" si="9"/>
        <v>0</v>
      </c>
      <c r="H23" s="283">
        <f t="shared" si="9"/>
        <v>0</v>
      </c>
      <c r="I23" s="194"/>
      <c r="J23" s="284">
        <f>AVERAGE(D77:INDEX(D77:H77,0,MATCH(Data!$B$3,$D$7:$H$7,0)))/AVERAGE($D$90:INDEX($D$90:$H$90,0,MATCH(Data!$B$3,$D$7:$H$7,0)))</f>
        <v>0</v>
      </c>
      <c r="K23" s="285">
        <f t="shared" ref="K23:K24" si="10">AVERAGE(D77:H77)/AVERAGE($D$90:$H$90)</f>
        <v>0</v>
      </c>
    </row>
    <row r="24" spans="2:11">
      <c r="B24" s="369" t="str">
        <f>GD!B24</f>
        <v>LTS shareholder contribution</v>
      </c>
      <c r="C24" s="370" t="s">
        <v>163</v>
      </c>
      <c r="D24" s="282">
        <f t="shared" ref="D24:H24" si="11">D78/D$90</f>
        <v>0</v>
      </c>
      <c r="E24" s="283">
        <f t="shared" si="11"/>
        <v>0</v>
      </c>
      <c r="F24" s="283">
        <f t="shared" si="11"/>
        <v>0</v>
      </c>
      <c r="G24" s="283">
        <f t="shared" si="11"/>
        <v>0</v>
      </c>
      <c r="H24" s="283">
        <f t="shared" si="11"/>
        <v>0</v>
      </c>
      <c r="I24" s="194"/>
      <c r="J24" s="284">
        <f>AVERAGE(D78:INDEX(D78:H78,0,MATCH(Data!$B$3,$D$7:$H$7,0)))/AVERAGE($D$90:INDEX($D$90:$H$90,0,MATCH(Data!$B$3,$D$7:$H$7,0)))</f>
        <v>0</v>
      </c>
      <c r="K24" s="285">
        <f t="shared" si="10"/>
        <v>0</v>
      </c>
    </row>
    <row r="25" spans="2:11">
      <c r="B25" s="369" t="str">
        <f>GD!B25</f>
        <v/>
      </c>
      <c r="C25" s="370" t="s">
        <v>163</v>
      </c>
      <c r="D25" s="282"/>
      <c r="E25" s="283"/>
      <c r="F25" s="283"/>
      <c r="G25" s="283"/>
      <c r="H25" s="283"/>
      <c r="I25" s="194"/>
      <c r="J25" s="284"/>
      <c r="K25" s="285"/>
    </row>
    <row r="26" spans="2:11">
      <c r="B26" s="369" t="str">
        <f>GD!B26</f>
        <v/>
      </c>
      <c r="C26" s="370" t="s">
        <v>163</v>
      </c>
      <c r="D26" s="282"/>
      <c r="E26" s="283"/>
      <c r="F26" s="283"/>
      <c r="G26" s="283"/>
      <c r="H26" s="283"/>
      <c r="I26" s="194"/>
      <c r="J26" s="284"/>
      <c r="K26" s="285"/>
    </row>
    <row r="27" spans="2:11">
      <c r="B27" s="369" t="str">
        <f>GD!B27</f>
        <v/>
      </c>
      <c r="C27" s="370" t="s">
        <v>163</v>
      </c>
      <c r="D27" s="282">
        <f t="shared" ref="D27:H27" si="12">D73/D$90</f>
        <v>3.3796948906274671E-4</v>
      </c>
      <c r="E27" s="283">
        <f t="shared" si="12"/>
        <v>2.3670413728379738E-4</v>
      </c>
      <c r="F27" s="283">
        <f t="shared" si="12"/>
        <v>2.5318857963063554E-4</v>
      </c>
      <c r="G27" s="283">
        <f t="shared" si="12"/>
        <v>3.2827271083718718E-4</v>
      </c>
      <c r="H27" s="283">
        <f t="shared" si="12"/>
        <v>3.2535720848571916E-4</v>
      </c>
      <c r="I27" s="194"/>
      <c r="J27" s="284">
        <f>AVERAGE(D73:INDEX(D73:H73,0,MATCH(Data!$B$3,$D$7:$H$7,0)))/AVERAGE($D$90:INDEX($D$90:$H$90,0,MATCH(Data!$B$3,$D$7:$H$7,0)))</f>
        <v>2.7566511744780937E-4</v>
      </c>
      <c r="K27" s="285">
        <f>AVERAGE(D73:H73)/AVERAGE($D$90:$H$90)</f>
        <v>2.9641053311131599E-4</v>
      </c>
    </row>
    <row r="28" spans="2:11">
      <c r="B28" s="369" t="str">
        <f>GD!B28</f>
        <v>Penalties and fines (Other Activities)</v>
      </c>
      <c r="C28" s="370" t="s">
        <v>163</v>
      </c>
      <c r="D28" s="282">
        <f t="shared" ref="D28:H28" si="13">D82/D$90</f>
        <v>-8.9661558046393421E-4</v>
      </c>
      <c r="E28" s="283">
        <f t="shared" si="13"/>
        <v>-1.5523828654427389E-3</v>
      </c>
      <c r="F28" s="283">
        <f t="shared" si="13"/>
        <v>-1.2475974281642268E-3</v>
      </c>
      <c r="G28" s="283">
        <f t="shared" si="13"/>
        <v>-5.382044654615272E-4</v>
      </c>
      <c r="H28" s="283">
        <f t="shared" si="13"/>
        <v>-5.2534699911689815E-4</v>
      </c>
      <c r="I28" s="194"/>
      <c r="J28" s="284">
        <f>AVERAGE(D82:INDEX(D82:H82,0,MATCH(Data!$B$3,$D$7:$H$7,0)))/AVERAGE($D$90:INDEX($D$90:$H$90,0,MATCH(Data!$B$3,$D$7:$H$7,0)))</f>
        <v>-1.2334397831078574E-3</v>
      </c>
      <c r="K28" s="285">
        <f>AVERAGE(D82:H82)/AVERAGE($D$90:$H$90)</f>
        <v>-9.4881020503589995E-4</v>
      </c>
    </row>
    <row r="29" spans="2:11">
      <c r="B29" s="372" t="str">
        <f>GD!B29</f>
        <v>RoRE - Operational performance</v>
      </c>
      <c r="C29" s="370" t="s">
        <v>163</v>
      </c>
      <c r="D29" s="324">
        <f t="shared" ref="D29:H29" si="14">SUM(D11:D28)</f>
        <v>5.3211084587807635E-2</v>
      </c>
      <c r="E29" s="373">
        <f t="shared" si="14"/>
        <v>3.8965190250600024E-2</v>
      </c>
      <c r="F29" s="373">
        <f t="shared" si="14"/>
        <v>3.8194657666731101E-2</v>
      </c>
      <c r="G29" s="373">
        <f t="shared" si="14"/>
        <v>4.1223312148356644E-2</v>
      </c>
      <c r="H29" s="373">
        <f t="shared" si="14"/>
        <v>4.4499437192869654E-2</v>
      </c>
      <c r="I29" s="287"/>
      <c r="J29" s="151">
        <f>SUM(J11:J28)</f>
        <v>4.3406499430170692E-2</v>
      </c>
      <c r="K29" s="323">
        <f>SUM(K11:K28)</f>
        <v>4.318834272658003E-2</v>
      </c>
    </row>
    <row r="30" spans="2:11">
      <c r="B30" s="369" t="str">
        <f>GD!B30</f>
        <v>Debt performance - at notional gearing</v>
      </c>
      <c r="C30" s="370" t="s">
        <v>163</v>
      </c>
      <c r="D30" s="282">
        <f>(D84)/D$90</f>
        <v>2.5923570488530223E-2</v>
      </c>
      <c r="E30" s="283">
        <f t="shared" ref="E30:H30" si="15">(E84)/E$90</f>
        <v>6.3734193046867962E-2</v>
      </c>
      <c r="F30" s="283">
        <f t="shared" si="15"/>
        <v>5.0127529805568082E-2</v>
      </c>
      <c r="G30" s="283">
        <f t="shared" si="15"/>
        <v>1.0814559990068476E-2</v>
      </c>
      <c r="H30" s="283">
        <f t="shared" si="15"/>
        <v>6.2515098660133198E-4</v>
      </c>
      <c r="I30" s="194"/>
      <c r="J30" s="284">
        <f>AVERAGE(D84:INDEX(D84:H84,0,MATCH(Data!$B$3,$D$7:$H$7,0)))/AVERAGE($D$90:INDEX($D$90:$H$90,0,MATCH(Data!$B$3,$D$7:$H$7,0)))</f>
        <v>4.6679280903514919E-2</v>
      </c>
      <c r="K30" s="285">
        <f>AVERAGE(D84:H84)/AVERAGE($D$90:$H$90)</f>
        <v>3.0055576969816408E-2</v>
      </c>
    </row>
    <row r="31" spans="2:11">
      <c r="B31" s="369" t="str">
        <f>GD!B31</f>
        <v>Tax performance - at notional gearing</v>
      </c>
      <c r="C31" s="370" t="s">
        <v>163</v>
      </c>
      <c r="D31" s="282">
        <f>(D86)/D$90</f>
        <v>1.6803199025050609E-3</v>
      </c>
      <c r="E31" s="283">
        <f t="shared" ref="E31:H31" si="16">(E86)/E$90</f>
        <v>2.4163917473387633E-3</v>
      </c>
      <c r="F31" s="283">
        <f t="shared" si="16"/>
        <v>-3.5176517724823993E-3</v>
      </c>
      <c r="G31" s="283">
        <f t="shared" si="16"/>
        <v>1.1753407485188249E-2</v>
      </c>
      <c r="H31" s="283">
        <f t="shared" si="16"/>
        <v>1.131984066904491E-3</v>
      </c>
      <c r="I31" s="194"/>
      <c r="J31" s="284">
        <f>AVERAGE(D86:INDEX(D86:H86,0,MATCH(Data!$B$3,$D$7:$H$7,0)))/AVERAGE($D$90:INDEX($D$90:$H$90,0,MATCH(Data!$B$3,$D$7:$H$7,0)))</f>
        <v>1.7662353416048651E-4</v>
      </c>
      <c r="K31" s="285">
        <f>AVERAGE(D86:H86)/AVERAGE($D$90:$H$90)</f>
        <v>2.7087391409807778E-3</v>
      </c>
    </row>
    <row r="32" spans="2:11">
      <c r="B32" s="372" t="str">
        <f>GD!B32</f>
        <v>RoRE - including financing and tax</v>
      </c>
      <c r="C32" s="370" t="s">
        <v>163</v>
      </c>
      <c r="D32" s="151">
        <f>SUM(D29:D31)</f>
        <v>8.0814974978842907E-2</v>
      </c>
      <c r="E32" s="325">
        <f t="shared" ref="E32:H32" si="17">SUM(E29:E31)</f>
        <v>0.10511577504480675</v>
      </c>
      <c r="F32" s="325">
        <f t="shared" si="17"/>
        <v>8.4804535699816788E-2</v>
      </c>
      <c r="G32" s="325">
        <f t="shared" si="17"/>
        <v>6.3791279623613362E-2</v>
      </c>
      <c r="H32" s="325">
        <f t="shared" si="17"/>
        <v>4.6256572246375478E-2</v>
      </c>
      <c r="I32" s="287"/>
      <c r="J32" s="151">
        <f>SUM(J29:J31)</f>
        <v>9.0262403867846092E-2</v>
      </c>
      <c r="K32" s="323">
        <f>SUM(K29:K31)</f>
        <v>7.5952658837377215E-2</v>
      </c>
    </row>
    <row r="36" spans="2:13">
      <c r="B36" s="366" t="s">
        <v>57</v>
      </c>
      <c r="C36" s="367"/>
      <c r="D36" s="367"/>
      <c r="E36" s="367"/>
      <c r="F36" s="367"/>
      <c r="G36" s="367"/>
      <c r="H36" s="367"/>
      <c r="I36" s="368"/>
      <c r="J36" s="367"/>
      <c r="K36" s="367"/>
      <c r="L36" s="367"/>
    </row>
    <row r="37" spans="2:13">
      <c r="B37" s="147"/>
      <c r="I37" s="345"/>
    </row>
    <row r="38" spans="2:13">
      <c r="B38" s="369" t="str">
        <f>GD!B38</f>
        <v>Allowed Equity Return</v>
      </c>
      <c r="C38" s="370" t="s">
        <v>163</v>
      </c>
      <c r="D38" s="282">
        <f>D65/D$91</f>
        <v>4.7548602181442114E-2</v>
      </c>
      <c r="E38" s="283">
        <f t="shared" ref="D38:H46" si="18">E65/E$91</f>
        <v>4.5098920656934147E-2</v>
      </c>
      <c r="F38" s="283">
        <f t="shared" si="18"/>
        <v>5.1324060752964577E-2</v>
      </c>
      <c r="G38" s="283">
        <f t="shared" si="18"/>
        <v>5.6111444302498738E-2</v>
      </c>
      <c r="H38" s="283">
        <f t="shared" si="18"/>
        <v>5.7470849260389902E-2</v>
      </c>
      <c r="I38" s="194"/>
      <c r="J38" s="284">
        <f>AVERAGE(D65:INDEX(D65:H65,0,MATCH(Data!$B$3,$D$7:$H$7,0)))/AVERAGE($D$91:INDEX($D$91:$H$91,0,MATCH(Data!$B$3,$D$7:$H$7,0)))</f>
        <v>4.8032427392713233E-2</v>
      </c>
      <c r="K38" s="285">
        <f>AVERAGE(D65:H65)/AVERAGE($D$91:$H$91)</f>
        <v>5.1540716276411255E-2</v>
      </c>
      <c r="M38" s="374"/>
    </row>
    <row r="39" spans="2:13">
      <c r="B39" s="369" t="str">
        <f>GD!B39</f>
        <v>Totex outperformance</v>
      </c>
      <c r="C39" s="370" t="s">
        <v>163</v>
      </c>
      <c r="D39" s="282">
        <f t="shared" si="18"/>
        <v>7.9148405234144292E-3</v>
      </c>
      <c r="E39" s="283">
        <f t="shared" si="18"/>
        <v>-6.837468915881063E-3</v>
      </c>
      <c r="F39" s="283">
        <f t="shared" si="18"/>
        <v>-1.4760958758129857E-2</v>
      </c>
      <c r="G39" s="283">
        <f t="shared" si="18"/>
        <v>-1.5994642047702692E-2</v>
      </c>
      <c r="H39" s="283">
        <f t="shared" si="18"/>
        <v>-1.2611422995531375E-2</v>
      </c>
      <c r="I39" s="194"/>
      <c r="J39" s="284">
        <f>AVERAGE(D66:INDEX(D66:H66,0,MATCH(Data!$B$3,$D$7:$H$7,0)))/AVERAGE($D$91:INDEX($D$91:$H$91,0,MATCH(Data!$B$3,$D$7:$H$7,0)))</f>
        <v>-4.9511051224481982E-3</v>
      </c>
      <c r="K39" s="285">
        <f t="shared" ref="K39:K46" si="19">AVERAGE(D66:H66)/AVERAGE($D$91:$H$91)</f>
        <v>-8.7103898284988622E-3</v>
      </c>
    </row>
    <row r="40" spans="2:13">
      <c r="B40" s="369" t="str">
        <f>GD!B40</f>
        <v>Business Plan Incentive</v>
      </c>
      <c r="C40" s="370" t="s">
        <v>163</v>
      </c>
      <c r="D40" s="282">
        <f t="shared" si="18"/>
        <v>6.1924603498104055E-5</v>
      </c>
      <c r="E40" s="283">
        <f t="shared" si="18"/>
        <v>5.7614630224925971E-5</v>
      </c>
      <c r="F40" s="283">
        <f t="shared" si="18"/>
        <v>5.6047704628626823E-5</v>
      </c>
      <c r="G40" s="283">
        <f t="shared" si="18"/>
        <v>5.7395444759131307E-5</v>
      </c>
      <c r="H40" s="283">
        <f t="shared" si="18"/>
        <v>5.9003073896059191E-5</v>
      </c>
      <c r="I40" s="194"/>
      <c r="J40" s="284">
        <f>AVERAGE(D67:INDEX(D67:H67,0,MATCH(Data!$B$3,$D$7:$H$7,0)))/AVERAGE($D$91:INDEX($D$91:$H$91,0,MATCH(Data!$B$3,$D$7:$H$7,0)))</f>
        <v>5.8425643169758639E-5</v>
      </c>
      <c r="K40" s="285">
        <f t="shared" si="19"/>
        <v>5.8330416660595524E-5</v>
      </c>
    </row>
    <row r="41" spans="2:13">
      <c r="B41" s="369" t="str">
        <f>GD!B41</f>
        <v>Customer Satisfaction Survey ODI</v>
      </c>
      <c r="C41" s="370" t="s">
        <v>163</v>
      </c>
      <c r="D41" s="282">
        <f t="shared" si="18"/>
        <v>8.1925036640752747E-4</v>
      </c>
      <c r="E41" s="283">
        <f t="shared" si="18"/>
        <v>1.277823942388535E-3</v>
      </c>
      <c r="F41" s="283">
        <f t="shared" si="18"/>
        <v>1.4901620259323808E-3</v>
      </c>
      <c r="G41" s="283">
        <f t="shared" si="18"/>
        <v>1.8539455547033356E-3</v>
      </c>
      <c r="H41" s="283">
        <f t="shared" si="18"/>
        <v>2.0342191286788188E-3</v>
      </c>
      <c r="I41" s="194"/>
      <c r="J41" s="284">
        <f>AVERAGE(D68:INDEX(D68:H68,0,MATCH(Data!$B$3,$D$7:$H$7,0)))/AVERAGE($D$91:INDEX($D$91:$H$91,0,MATCH(Data!$B$3,$D$7:$H$7,0)))</f>
        <v>1.2073854167635159E-3</v>
      </c>
      <c r="K41" s="285">
        <f t="shared" si="19"/>
        <v>1.5022854368403451E-3</v>
      </c>
    </row>
    <row r="42" spans="2:13">
      <c r="B42" s="369" t="str">
        <f>GD!B42</f>
        <v>Complaints metric ODI</v>
      </c>
      <c r="C42" s="370" t="s">
        <v>163</v>
      </c>
      <c r="D42" s="282">
        <f t="shared" si="18"/>
        <v>0</v>
      </c>
      <c r="E42" s="283">
        <f t="shared" si="18"/>
        <v>0</v>
      </c>
      <c r="F42" s="283">
        <f t="shared" si="18"/>
        <v>0</v>
      </c>
      <c r="G42" s="283">
        <f t="shared" si="18"/>
        <v>0</v>
      </c>
      <c r="H42" s="283">
        <f t="shared" si="18"/>
        <v>0</v>
      </c>
      <c r="I42" s="194"/>
      <c r="J42" s="284">
        <f>AVERAGE(D69:INDEX(D69:H69,0,MATCH(Data!$B$3,$D$7:$H$7,0)))/AVERAGE($D$91:INDEX($D$91:$H$91,0,MATCH(Data!$B$3,$D$7:$H$7,0)))</f>
        <v>0</v>
      </c>
      <c r="K42" s="285">
        <f t="shared" si="19"/>
        <v>0</v>
      </c>
    </row>
    <row r="43" spans="2:13">
      <c r="B43" s="369" t="str">
        <f>GD!B43</f>
        <v>Unplanned Interruption Mean Duration ODI [NGN, SGN and WWU]</v>
      </c>
      <c r="C43" s="370" t="s">
        <v>163</v>
      </c>
      <c r="D43" s="282">
        <f t="shared" si="18"/>
        <v>0</v>
      </c>
      <c r="E43" s="283">
        <f t="shared" si="18"/>
        <v>0</v>
      </c>
      <c r="F43" s="283">
        <f t="shared" si="18"/>
        <v>0</v>
      </c>
      <c r="G43" s="283">
        <f t="shared" si="18"/>
        <v>0</v>
      </c>
      <c r="H43" s="283">
        <f t="shared" si="18"/>
        <v>0</v>
      </c>
      <c r="I43" s="194"/>
      <c r="J43" s="284">
        <f>AVERAGE(D70:INDEX(D70:H70,0,MATCH(Data!$B$3,$D$7:$H$7,0)))/AVERAGE($D$91:INDEX($D$91:$H$91,0,MATCH(Data!$B$3,$D$7:$H$7,0)))</f>
        <v>0</v>
      </c>
      <c r="K43" s="285">
        <f t="shared" si="19"/>
        <v>0</v>
      </c>
    </row>
    <row r="44" spans="2:13">
      <c r="B44" s="369" t="str">
        <f>GD!B44</f>
        <v>Unplanned Interruption Mean Duration ODI [Cadent only]</v>
      </c>
      <c r="C44" s="370" t="s">
        <v>163</v>
      </c>
      <c r="D44" s="282">
        <f t="shared" si="18"/>
        <v>0</v>
      </c>
      <c r="E44" s="283">
        <f t="shared" si="18"/>
        <v>0</v>
      </c>
      <c r="F44" s="283">
        <f t="shared" si="18"/>
        <v>0</v>
      </c>
      <c r="G44" s="283">
        <f t="shared" si="18"/>
        <v>0</v>
      </c>
      <c r="H44" s="283">
        <f t="shared" si="18"/>
        <v>0</v>
      </c>
      <c r="I44" s="194"/>
      <c r="J44" s="284">
        <f>AVERAGE(D71:INDEX(D71:H71,0,MATCH(Data!$B$3,$D$7:$H$7,0)))/AVERAGE($D$91:INDEX($D$91:$H$91,0,MATCH(Data!$B$3,$D$7:$H$7,0)))</f>
        <v>0</v>
      </c>
      <c r="K44" s="285">
        <f t="shared" si="19"/>
        <v>0</v>
      </c>
    </row>
    <row r="45" spans="2:13">
      <c r="B45" s="369" t="str">
        <f>GD!B45</f>
        <v>Shrinkage Management ODI</v>
      </c>
      <c r="C45" s="370" t="s">
        <v>163</v>
      </c>
      <c r="D45" s="282">
        <f t="shared" si="18"/>
        <v>1.7642479560891434E-4</v>
      </c>
      <c r="E45" s="283">
        <f t="shared" si="18"/>
        <v>2.7734747288247992E-4</v>
      </c>
      <c r="F45" s="283">
        <f t="shared" si="18"/>
        <v>2.0458475482375694E-5</v>
      </c>
      <c r="G45" s="283">
        <f t="shared" si="18"/>
        <v>2.6402225936041537E-6</v>
      </c>
      <c r="H45" s="283">
        <f t="shared" si="18"/>
        <v>3.6465362199001637E-5</v>
      </c>
      <c r="I45" s="194"/>
      <c r="J45" s="284">
        <f>AVERAGE(D72:INDEX(D72:H72,0,MATCH(Data!$B$3,$D$7:$H$7,0)))/AVERAGE($D$91:INDEX($D$91:$H$91,0,MATCH(Data!$B$3,$D$7:$H$7,0)))</f>
        <v>1.5634473095367494E-4</v>
      </c>
      <c r="K45" s="285">
        <f t="shared" si="19"/>
        <v>1.0140052016443102E-4</v>
      </c>
    </row>
    <row r="46" spans="2:13">
      <c r="B46" s="369" t="str">
        <f>GD!B46</f>
        <v>Collaborative streetworks ODI [Cadent Lon &amp; EoE, SGN So only]</v>
      </c>
      <c r="C46" s="370" t="s">
        <v>163</v>
      </c>
      <c r="D46" s="282">
        <f t="shared" si="18"/>
        <v>3.5567303594354098E-4</v>
      </c>
      <c r="E46" s="283">
        <f t="shared" si="18"/>
        <v>2.3426695287262939E-4</v>
      </c>
      <c r="F46" s="283">
        <f t="shared" si="18"/>
        <v>2.4595298134319764E-4</v>
      </c>
      <c r="G46" s="283">
        <f t="shared" si="18"/>
        <v>3.2965914892672739E-4</v>
      </c>
      <c r="H46" s="283">
        <f t="shared" si="18"/>
        <v>3.3889280249093539E-4</v>
      </c>
      <c r="I46" s="194"/>
      <c r="J46" s="284">
        <f>AVERAGE(D73:INDEX(D73:H73,0,MATCH(Data!$B$3,$D$7:$H$7,0)))/AVERAGE($D$91:INDEX($D$91:$H$91,0,MATCH(Data!$B$3,$D$7:$H$7,0)))</f>
        <v>2.7650963278682053E-4</v>
      </c>
      <c r="K46" s="285">
        <f t="shared" si="19"/>
        <v>2.9964709277909425E-4</v>
      </c>
    </row>
    <row r="47" spans="2:13">
      <c r="B47" s="369" t="str">
        <f>GD!B47</f>
        <v>Network innovation input for RORE</v>
      </c>
      <c r="C47" s="370" t="s">
        <v>163</v>
      </c>
      <c r="D47" s="282">
        <f t="shared" ref="D47:H47" si="20">D74/D$91</f>
        <v>-1.9015590498313296E-4</v>
      </c>
      <c r="E47" s="283">
        <f t="shared" si="20"/>
        <v>-2.4238096566783226E-4</v>
      </c>
      <c r="F47" s="283">
        <f t="shared" si="20"/>
        <v>-3.0659794937070665E-4</v>
      </c>
      <c r="G47" s="283">
        <f t="shared" si="20"/>
        <v>-7.5220815664996999E-4</v>
      </c>
      <c r="H47" s="283">
        <f t="shared" si="20"/>
        <v>-7.6898262684320536E-4</v>
      </c>
      <c r="I47" s="194"/>
      <c r="J47" s="284">
        <f>AVERAGE(D74:INDEX(D74:H74,0,MATCH(Data!$B$3,$D$7:$H$7,0)))/AVERAGE($D$91:INDEX($D$91:$H$91,0,MATCH(Data!$B$3,$D$7:$H$7,0)))</f>
        <v>-2.4827008620176402E-4</v>
      </c>
      <c r="K47" s="285">
        <f t="shared" ref="K47:K51" si="21">AVERAGE(D74:H74)/AVERAGE($D$91:$H$91)</f>
        <v>-4.5365477507576882E-4</v>
      </c>
    </row>
    <row r="48" spans="2:13">
      <c r="B48" s="369" t="str">
        <f>GD!B48</f>
        <v>Carry-over Network innovation input for RORE</v>
      </c>
      <c r="C48" s="370" t="s">
        <v>163</v>
      </c>
      <c r="D48" s="282">
        <f t="shared" ref="D48:H48" si="22">D75/D$91</f>
        <v>-1.0025825922971251E-4</v>
      </c>
      <c r="E48" s="283">
        <f t="shared" si="22"/>
        <v>0</v>
      </c>
      <c r="F48" s="283">
        <f t="shared" si="22"/>
        <v>0</v>
      </c>
      <c r="G48" s="283">
        <f t="shared" si="22"/>
        <v>0</v>
      </c>
      <c r="H48" s="283">
        <f t="shared" si="22"/>
        <v>0</v>
      </c>
      <c r="I48" s="194"/>
      <c r="J48" s="284">
        <f>AVERAGE(D75:INDEX(D75:H75,0,MATCH(Data!$B$3,$D$7:$H$7,0)))/AVERAGE($D$91:INDEX($D$91:$H$91,0,MATCH(Data!$B$3,$D$7:$H$7,0)))</f>
        <v>-3.1531103673817835E-5</v>
      </c>
      <c r="K48" s="285">
        <f t="shared" si="21"/>
        <v>-1.8887827145196592E-5</v>
      </c>
    </row>
    <row r="49" spans="2:12">
      <c r="B49" s="369" t="str">
        <f>GD!B49</f>
        <v>Strategic innovation input for RORE</v>
      </c>
      <c r="C49" s="370" t="s">
        <v>163</v>
      </c>
      <c r="D49" s="282">
        <f t="shared" ref="D49:H49" si="23">D76/D$91</f>
        <v>0</v>
      </c>
      <c r="E49" s="283">
        <f t="shared" si="23"/>
        <v>0</v>
      </c>
      <c r="F49" s="283">
        <f t="shared" si="23"/>
        <v>0</v>
      </c>
      <c r="G49" s="283">
        <f t="shared" si="23"/>
        <v>0</v>
      </c>
      <c r="H49" s="283">
        <f t="shared" si="23"/>
        <v>0</v>
      </c>
      <c r="I49" s="194"/>
      <c r="J49" s="284">
        <f>AVERAGE(D76:INDEX(D76:H76,0,MATCH(Data!$B$3,$D$7:$H$7,0)))/AVERAGE($D$91:INDEX($D$91:$H$91,0,MATCH(Data!$B$3,$D$7:$H$7,0)))</f>
        <v>0</v>
      </c>
      <c r="K49" s="285">
        <f t="shared" si="21"/>
        <v>0</v>
      </c>
    </row>
    <row r="50" spans="2:12">
      <c r="B50" s="369" t="str">
        <f>GD!B50</f>
        <v>H100 shareholder contribution</v>
      </c>
      <c r="C50" s="370" t="s">
        <v>163</v>
      </c>
      <c r="D50" s="282">
        <f t="shared" ref="D50:H50" si="24">D77/D$91</f>
        <v>0</v>
      </c>
      <c r="E50" s="283">
        <f t="shared" si="24"/>
        <v>0</v>
      </c>
      <c r="F50" s="283">
        <f t="shared" si="24"/>
        <v>0</v>
      </c>
      <c r="G50" s="283">
        <f t="shared" si="24"/>
        <v>0</v>
      </c>
      <c r="H50" s="283">
        <f t="shared" si="24"/>
        <v>0</v>
      </c>
      <c r="I50" s="194"/>
      <c r="J50" s="284">
        <f>AVERAGE(D77:INDEX(D77:H77,0,MATCH(Data!$B$3,$D$7:$H$7,0)))/AVERAGE($D$91:INDEX($D$91:$H$91,0,MATCH(Data!$B$3,$D$7:$H$7,0)))</f>
        <v>0</v>
      </c>
      <c r="K50" s="285">
        <f t="shared" si="21"/>
        <v>0</v>
      </c>
    </row>
    <row r="51" spans="2:12">
      <c r="B51" s="369" t="str">
        <f>GD!B51</f>
        <v>LTS shareholder contribution</v>
      </c>
      <c r="C51" s="370" t="s">
        <v>163</v>
      </c>
      <c r="D51" s="282">
        <f t="shared" ref="D51:H51" si="25">D78/D$91</f>
        <v>0</v>
      </c>
      <c r="E51" s="283">
        <f t="shared" si="25"/>
        <v>0</v>
      </c>
      <c r="F51" s="283">
        <f t="shared" si="25"/>
        <v>0</v>
      </c>
      <c r="G51" s="283">
        <f t="shared" si="25"/>
        <v>0</v>
      </c>
      <c r="H51" s="283">
        <f t="shared" si="25"/>
        <v>0</v>
      </c>
      <c r="I51" s="194"/>
      <c r="J51" s="284">
        <f>AVERAGE(D78:INDEX(D78:H78,0,MATCH(Data!$B$3,$D$7:$H$7,0)))/AVERAGE($D$91:INDEX($D$91:$H$91,0,MATCH(Data!$B$3,$D$7:$H$7,0)))</f>
        <v>0</v>
      </c>
      <c r="K51" s="285">
        <f t="shared" si="21"/>
        <v>0</v>
      </c>
    </row>
    <row r="52" spans="2:12">
      <c r="B52" s="369" t="str">
        <f>GD!B52</f>
        <v/>
      </c>
      <c r="C52" s="370" t="s">
        <v>163</v>
      </c>
      <c r="D52" s="282"/>
      <c r="E52" s="283"/>
      <c r="F52" s="283"/>
      <c r="G52" s="283"/>
      <c r="H52" s="283"/>
      <c r="I52" s="194"/>
      <c r="J52" s="284"/>
      <c r="K52" s="285"/>
    </row>
    <row r="53" spans="2:12">
      <c r="B53" s="369" t="str">
        <f>GD!B53</f>
        <v/>
      </c>
      <c r="C53" s="370" t="s">
        <v>163</v>
      </c>
      <c r="D53" s="282"/>
      <c r="E53" s="283"/>
      <c r="F53" s="283"/>
      <c r="G53" s="283"/>
      <c r="H53" s="283"/>
      <c r="I53" s="194"/>
      <c r="J53" s="284"/>
      <c r="K53" s="285"/>
    </row>
    <row r="54" spans="2:12">
      <c r="B54" s="369" t="str">
        <f>GD!B54</f>
        <v/>
      </c>
      <c r="C54" s="370" t="s">
        <v>163</v>
      </c>
      <c r="D54" s="282"/>
      <c r="E54" s="283"/>
      <c r="F54" s="283"/>
      <c r="G54" s="283"/>
      <c r="H54" s="283"/>
      <c r="I54" s="194"/>
      <c r="J54" s="284"/>
      <c r="K54" s="285"/>
    </row>
    <row r="55" spans="2:12">
      <c r="B55" s="369" t="str">
        <f>GD!B55</f>
        <v>Penalties and fines (Other Activities)</v>
      </c>
      <c r="C55" s="370" t="s">
        <v>163</v>
      </c>
      <c r="D55" s="282">
        <f t="shared" ref="D55:H55" si="26">D82/D$91</f>
        <v>-9.435821750130854E-4</v>
      </c>
      <c r="E55" s="283">
        <f t="shared" si="26"/>
        <v>-1.5363990158859177E-3</v>
      </c>
      <c r="F55" s="283">
        <f t="shared" si="26"/>
        <v>-1.2119437117611954E-3</v>
      </c>
      <c r="G55" s="283">
        <f t="shared" si="26"/>
        <v>-5.4047753643649043E-4</v>
      </c>
      <c r="H55" s="283">
        <f t="shared" si="26"/>
        <v>-5.4720261966700228E-4</v>
      </c>
      <c r="I55" s="194"/>
      <c r="J55" s="284">
        <f>AVERAGE(D82:INDEX(D82:H82,0,MATCH(Data!$B$3,$D$7:$H$7,0)))/AVERAGE($D$91:INDEX($D$91:$H$91,0,MATCH(Data!$B$3,$D$7:$H$7,0)))</f>
        <v>-1.2372184941258678E-3</v>
      </c>
      <c r="K55" s="285">
        <f>AVERAGE(D82:H82)/AVERAGE($D$91:$H$91)</f>
        <v>-9.591704334993141E-4</v>
      </c>
    </row>
    <row r="56" spans="2:12">
      <c r="B56" s="372" t="str">
        <f>GD!B56</f>
        <v>RoRE - Operational performance</v>
      </c>
      <c r="C56" s="370" t="s">
        <v>163</v>
      </c>
      <c r="D56" s="324">
        <f t="shared" ref="D56:H56" si="27">SUM(D38:D55)</f>
        <v>5.5642719167088697E-2</v>
      </c>
      <c r="E56" s="373">
        <f t="shared" si="27"/>
        <v>3.8329724757867903E-2</v>
      </c>
      <c r="F56" s="373">
        <f t="shared" si="27"/>
        <v>3.6857181521089397E-2</v>
      </c>
      <c r="G56" s="373">
        <f t="shared" si="27"/>
        <v>4.1067756932692386E-2</v>
      </c>
      <c r="H56" s="373">
        <f t="shared" si="27"/>
        <v>4.6011821385613133E-2</v>
      </c>
      <c r="I56" s="287"/>
      <c r="J56" s="151">
        <f>SUM(J38:J55)</f>
        <v>4.3262968009937355E-2</v>
      </c>
      <c r="K56" s="323">
        <f>SUM(K38:K55)</f>
        <v>4.3360276878636583E-2</v>
      </c>
    </row>
    <row r="57" spans="2:12">
      <c r="B57" s="369" t="str">
        <f>GD!B57</f>
        <v>Debt performance - at actual gearing</v>
      </c>
      <c r="C57" s="370" t="s">
        <v>163</v>
      </c>
      <c r="D57" s="282">
        <f>(D84+D85)/D$91</f>
        <v>2.7112937039221685E-2</v>
      </c>
      <c r="E57" s="283">
        <f t="shared" ref="E57:H57" si="28">(E84+E85)/E$91</f>
        <v>6.2836118010766731E-2</v>
      </c>
      <c r="F57" s="283">
        <f t="shared" si="28"/>
        <v>4.8288653067241401E-2</v>
      </c>
      <c r="G57" s="283">
        <f t="shared" si="28"/>
        <v>1.0801569609928395E-2</v>
      </c>
      <c r="H57" s="283">
        <f t="shared" si="28"/>
        <v>-2.8419449202464144E-4</v>
      </c>
      <c r="I57" s="194"/>
      <c r="J57" s="284">
        <f>(AVERAGE(D84:INDEX(D84:H84,0,MATCH(Data!$B$3,$D$7:$H$7,0)))+AVERAGE(D85:INDEX(D85:H85,0,MATCH(Data!$B$3,$D$7:$H$7,0))))/AVERAGE($D$91:INDEX($D$91:$H$91,0,MATCH(Data!$B$3,$D$7:$H$7,0)))</f>
        <v>4.6546329641742372E-2</v>
      </c>
      <c r="K57" s="285">
        <f>(AVERAGE(D84:H84)+AVERAGE(D85:H85))/AVERAGE($D$91:$H$91)</f>
        <v>3.0021593485130782E-2</v>
      </c>
    </row>
    <row r="58" spans="2:12">
      <c r="B58" s="369" t="str">
        <f>GD!B58</f>
        <v>Tax performance - at actual gearing</v>
      </c>
      <c r="C58" s="370" t="s">
        <v>163</v>
      </c>
      <c r="D58" s="282">
        <f>(D86+D87)/D$91</f>
        <v>1.8003657530468865E-3</v>
      </c>
      <c r="E58" s="283">
        <f t="shared" ref="E58:H58" si="29">(E86+E87)/E$91</f>
        <v>2.4374626326530333E-3</v>
      </c>
      <c r="F58" s="283">
        <f t="shared" si="29"/>
        <v>-3.3155403842635802E-3</v>
      </c>
      <c r="G58" s="283">
        <f t="shared" si="29"/>
        <v>1.1817713464397809E-2</v>
      </c>
      <c r="H58" s="283">
        <f t="shared" si="29"/>
        <v>1.4129154508463603E-3</v>
      </c>
      <c r="I58" s="194"/>
      <c r="J58" s="284">
        <f>(AVERAGE(D86:INDEX(D86:H86,0,MATCH(Data!$B$3,$D$7:$H$7,0)))+AVERAGE(D87:INDEX(D87:H87,0,MATCH(Data!$B$3,$D$7:$H$7,0))))/AVERAGE($D$91:INDEX($D$91:$H$91,0,MATCH(Data!$B$3,$D$7:$H$7,0)))</f>
        <v>2.3806777247575571E-4</v>
      </c>
      <c r="K58" s="285">
        <f>(AVERAGE(D86:H86)+AVERAGE(D87:H87))/AVERAGE($D$91:$H$91)</f>
        <v>2.8240141954026868E-3</v>
      </c>
    </row>
    <row r="59" spans="2:12">
      <c r="B59" s="372" t="str">
        <f>GD!B59</f>
        <v>RoRE - including financing and tax</v>
      </c>
      <c r="C59" s="370" t="s">
        <v>163</v>
      </c>
      <c r="D59" s="151">
        <f>SUM(D56:D58)</f>
        <v>8.4556021959357269E-2</v>
      </c>
      <c r="E59" s="325">
        <f t="shared" ref="E59:H59" si="30">SUM(E56:E58)</f>
        <v>0.10360330540128766</v>
      </c>
      <c r="F59" s="325">
        <f t="shared" si="30"/>
        <v>8.1830294204067219E-2</v>
      </c>
      <c r="G59" s="325">
        <f t="shared" si="30"/>
        <v>6.3687040007018594E-2</v>
      </c>
      <c r="H59" s="325">
        <f t="shared" si="30"/>
        <v>4.7140542344434849E-2</v>
      </c>
      <c r="I59" s="287"/>
      <c r="J59" s="151">
        <f>SUM(J56:J58)</f>
        <v>9.0047365424155479E-2</v>
      </c>
      <c r="K59" s="323">
        <f>SUM(K56:K58)</f>
        <v>7.6205884559170045E-2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tr">
        <f>GD!B62</f>
        <v>RoRE input values</v>
      </c>
      <c r="C62" s="379"/>
      <c r="D62" s="380"/>
      <c r="E62" s="380"/>
      <c r="F62" s="380"/>
      <c r="G62" s="380"/>
      <c r="H62" s="380"/>
      <c r="I62" s="381"/>
      <c r="J62" s="380"/>
      <c r="K62" s="380"/>
      <c r="L62" s="367"/>
    </row>
    <row r="63" spans="2:12">
      <c r="B63" s="382" t="str">
        <f>GD!B63</f>
        <v>Input values provided in £m 18/19 prices</v>
      </c>
      <c r="C63" s="383"/>
      <c r="D63" s="383"/>
      <c r="E63" s="383"/>
      <c r="F63" s="383"/>
      <c r="G63" s="383"/>
      <c r="H63" s="383"/>
      <c r="I63" s="383"/>
      <c r="J63" s="383"/>
      <c r="K63" s="383"/>
      <c r="L63" s="383"/>
    </row>
    <row r="65" spans="2:26">
      <c r="B65" s="308" t="str">
        <f>GD!B65</f>
        <v>Equity Return on the RAV</v>
      </c>
      <c r="C65" s="384" t="str">
        <f>GD!C65</f>
        <v>£m 18/19</v>
      </c>
      <c r="D65" s="385">
        <v>172.78950639730098</v>
      </c>
      <c r="E65" s="385">
        <v>176.14739038130892</v>
      </c>
      <c r="F65" s="385">
        <v>206.06584932113998</v>
      </c>
      <c r="G65" s="385">
        <v>219.99705452463985</v>
      </c>
      <c r="H65" s="385">
        <v>219.18751924818704</v>
      </c>
      <c r="J65" s="385">
        <v>555.00274609974986</v>
      </c>
      <c r="K65" s="385">
        <v>994.18731987257684</v>
      </c>
    </row>
    <row r="66" spans="2:26">
      <c r="B66" s="308" t="str">
        <f>GD!B66</f>
        <v>Totex outperformance</v>
      </c>
      <c r="C66" s="384" t="str">
        <f>GD!C66</f>
        <v>£m 18/19</v>
      </c>
      <c r="D66" s="385">
        <v>28.762178581727049</v>
      </c>
      <c r="E66" s="385">
        <v>-26.705790045566971</v>
      </c>
      <c r="F66" s="385">
        <v>-59.265176189564315</v>
      </c>
      <c r="G66" s="385">
        <v>-62.710453855023104</v>
      </c>
      <c r="H66" s="385">
        <v>-48.098584867881037</v>
      </c>
      <c r="J66" s="385">
        <v>-57.208787653404237</v>
      </c>
      <c r="K66" s="385">
        <v>-168.01782637630839</v>
      </c>
    </row>
    <row r="67" spans="2:26">
      <c r="B67" s="308" t="str">
        <f>GD!B67</f>
        <v>Business Plan Incentive</v>
      </c>
      <c r="C67" s="384" t="str">
        <f>GD!C67</f>
        <v>£m 18/19</v>
      </c>
      <c r="D67" s="385">
        <v>0.22503125604945926</v>
      </c>
      <c r="E67" s="385">
        <v>0.22503125604945926</v>
      </c>
      <c r="F67" s="385">
        <v>0.22503125604945926</v>
      </c>
      <c r="G67" s="385">
        <v>0.22503125604945926</v>
      </c>
      <c r="H67" s="385">
        <v>0.22503125604945926</v>
      </c>
      <c r="J67" s="385">
        <v>0.67509376814837763</v>
      </c>
      <c r="K67" s="385">
        <v>1.1251562802472963</v>
      </c>
    </row>
    <row r="68" spans="2:26">
      <c r="B68" s="308" t="str">
        <f>GD!B68</f>
        <v>Customer Satisfaction Survey ODI</v>
      </c>
      <c r="C68" s="384" t="str">
        <f>GD!C68</f>
        <v>£m 18/19</v>
      </c>
      <c r="D68" s="385">
        <v>2.9771194090457129</v>
      </c>
      <c r="E68" s="385">
        <v>4.9909254931113001</v>
      </c>
      <c r="F68" s="385">
        <v>5.9829931419081959</v>
      </c>
      <c r="G68" s="385">
        <v>7.2687945632798581</v>
      </c>
      <c r="H68" s="385">
        <v>7.7582887700534728</v>
      </c>
      <c r="J68" s="385">
        <v>13.951038044065211</v>
      </c>
      <c r="K68" s="385">
        <v>28.978121377398544</v>
      </c>
    </row>
    <row r="69" spans="2:26">
      <c r="B69" s="308" t="str">
        <f>GD!B69</f>
        <v>Complaints metric ODI</v>
      </c>
      <c r="C69" s="384" t="str">
        <f>GD!C69</f>
        <v>£m 18/19</v>
      </c>
      <c r="D69" s="385">
        <v>0</v>
      </c>
      <c r="E69" s="385">
        <v>0</v>
      </c>
      <c r="F69" s="385">
        <v>0</v>
      </c>
      <c r="G69" s="385">
        <v>0</v>
      </c>
      <c r="H69" s="385">
        <v>0</v>
      </c>
      <c r="J69" s="385">
        <v>0</v>
      </c>
      <c r="K69" s="385">
        <v>0</v>
      </c>
    </row>
    <row r="70" spans="2:26">
      <c r="B70" s="308" t="str">
        <f>GD!B70</f>
        <v>Unplanned Interruption Mean Duration ODI [NGN, SGN and WWU]</v>
      </c>
      <c r="C70" s="384" t="str">
        <f>GD!C70</f>
        <v>£m 18/19</v>
      </c>
      <c r="D70" s="385">
        <v>0</v>
      </c>
      <c r="E70" s="385">
        <v>0</v>
      </c>
      <c r="F70" s="385">
        <v>0</v>
      </c>
      <c r="G70" s="385">
        <v>0</v>
      </c>
      <c r="H70" s="385">
        <v>0</v>
      </c>
      <c r="J70" s="385">
        <v>0</v>
      </c>
      <c r="K70" s="385">
        <v>0</v>
      </c>
    </row>
    <row r="71" spans="2:26">
      <c r="B71" s="308" t="str">
        <f>GD!B71</f>
        <v>Unplanned Interruption Mean Duration ODI [Cadent only]</v>
      </c>
      <c r="C71" s="384" t="str">
        <f>GD!C71</f>
        <v>£m 18/19</v>
      </c>
      <c r="D71" s="385">
        <v>0</v>
      </c>
      <c r="E71" s="385">
        <v>0</v>
      </c>
      <c r="F71" s="385">
        <v>0</v>
      </c>
      <c r="G71" s="385">
        <v>0</v>
      </c>
      <c r="H71" s="385">
        <v>0</v>
      </c>
      <c r="J71" s="385">
        <v>0</v>
      </c>
      <c r="K71" s="385">
        <v>0</v>
      </c>
      <c r="Z71" s="295"/>
    </row>
    <row r="72" spans="2:26">
      <c r="B72" s="308" t="str">
        <f>GD!B72</f>
        <v>Shrinkage Management ODI</v>
      </c>
      <c r="C72" s="384" t="str">
        <f>GD!C72</f>
        <v>£m 18/19</v>
      </c>
      <c r="D72" s="385">
        <v>0.64111986369615825</v>
      </c>
      <c r="E72" s="385">
        <v>1.0832639199667446</v>
      </c>
      <c r="F72" s="385">
        <v>8.2140677573879495E-2</v>
      </c>
      <c r="G72" s="385">
        <v>1.0351563769255057E-2</v>
      </c>
      <c r="H72" s="385">
        <v>0.13907489417238444</v>
      </c>
      <c r="J72" s="385">
        <v>1.8065244612367823</v>
      </c>
      <c r="K72" s="385">
        <v>1.9559509191784219</v>
      </c>
    </row>
    <row r="73" spans="2:26">
      <c r="B73" s="308" t="str">
        <f>GD!B73</f>
        <v>Collaborative streetworks ODI [Cadent Lon &amp; EoE, SGN So only]</v>
      </c>
      <c r="C73" s="384" t="str">
        <f>GD!C73</f>
        <v>£m 18/19</v>
      </c>
      <c r="D73" s="385">
        <v>1.2925</v>
      </c>
      <c r="E73" s="385">
        <v>0.91500000000000004</v>
      </c>
      <c r="F73" s="385">
        <v>0.98750000000000004</v>
      </c>
      <c r="G73" s="385">
        <v>1.2925</v>
      </c>
      <c r="H73" s="385">
        <v>1.2925</v>
      </c>
      <c r="J73" s="385">
        <v>3.1950000000000003</v>
      </c>
      <c r="K73" s="385">
        <v>5.78</v>
      </c>
      <c r="X73" s="295"/>
    </row>
    <row r="74" spans="2:26">
      <c r="B74" s="308" t="str">
        <f>GD!B74</f>
        <v>Network innovation input for RORE</v>
      </c>
      <c r="C74" s="384" t="str">
        <f>GD!C74</f>
        <v>£m 18/19</v>
      </c>
      <c r="D74" s="385">
        <v>-0.69101810470027747</v>
      </c>
      <c r="E74" s="385">
        <v>-0.94669171586761203</v>
      </c>
      <c r="F74" s="385">
        <v>-1.230989245790439</v>
      </c>
      <c r="G74" s="385">
        <v>-2.9491947838710866</v>
      </c>
      <c r="H74" s="385">
        <v>-2.9328154445576571</v>
      </c>
      <c r="J74" s="385">
        <v>-2.8686990663583285</v>
      </c>
      <c r="K74" s="385">
        <v>-8.7507092947870717</v>
      </c>
    </row>
    <row r="75" spans="2:26">
      <c r="B75" s="308" t="str">
        <f>GD!B75</f>
        <v>Carry-over Network innovation input for RORE</v>
      </c>
      <c r="C75" s="384" t="str">
        <f>GD!C75</f>
        <v>£m 18/19</v>
      </c>
      <c r="D75" s="385">
        <v>-0.3643340567289261</v>
      </c>
      <c r="E75" s="385">
        <v>0</v>
      </c>
      <c r="F75" s="385">
        <v>0</v>
      </c>
      <c r="G75" s="385">
        <v>0</v>
      </c>
      <c r="H75" s="385">
        <v>0</v>
      </c>
      <c r="J75" s="385">
        <v>-0.3643340567289261</v>
      </c>
      <c r="K75" s="385">
        <v>-0.3643340567289261</v>
      </c>
      <c r="X75" s="295"/>
    </row>
    <row r="76" spans="2:26">
      <c r="B76" s="308" t="str">
        <f>GD!B76</f>
        <v>Strategic innovation input for RORE</v>
      </c>
      <c r="C76" s="384" t="str">
        <f>GD!C76</f>
        <v>£m 18/19</v>
      </c>
      <c r="D76" s="385">
        <v>0</v>
      </c>
      <c r="E76" s="385">
        <v>0</v>
      </c>
      <c r="F76" s="385">
        <v>0</v>
      </c>
      <c r="G76" s="385">
        <v>0</v>
      </c>
      <c r="H76" s="385">
        <v>0</v>
      </c>
      <c r="J76" s="385">
        <v>0</v>
      </c>
      <c r="K76" s="385">
        <v>0</v>
      </c>
    </row>
    <row r="77" spans="2:26">
      <c r="B77" s="308" t="str">
        <f>GD!B77</f>
        <v>H100 shareholder contribution</v>
      </c>
      <c r="C77" s="384" t="str">
        <f>GD!C77</f>
        <v>£m 18/19</v>
      </c>
      <c r="D77" s="385">
        <v>0</v>
      </c>
      <c r="E77" s="385">
        <v>0</v>
      </c>
      <c r="F77" s="385">
        <v>0</v>
      </c>
      <c r="G77" s="385">
        <v>0</v>
      </c>
      <c r="H77" s="385">
        <v>0</v>
      </c>
      <c r="J77" s="385">
        <v>0</v>
      </c>
      <c r="K77" s="385">
        <v>0</v>
      </c>
    </row>
    <row r="78" spans="2:26">
      <c r="B78" s="308" t="str">
        <f>GD!B78</f>
        <v>LTS shareholder contribution</v>
      </c>
      <c r="C78" s="384" t="str">
        <f>GD!C78</f>
        <v>£m 18/19</v>
      </c>
      <c r="D78" s="385">
        <v>0</v>
      </c>
      <c r="E78" s="385">
        <v>0</v>
      </c>
      <c r="F78" s="385">
        <v>0</v>
      </c>
      <c r="G78" s="385">
        <v>0</v>
      </c>
      <c r="H78" s="385">
        <v>0</v>
      </c>
      <c r="J78" s="385">
        <v>0</v>
      </c>
      <c r="K78" s="385">
        <v>0</v>
      </c>
    </row>
    <row r="79" spans="2:26">
      <c r="B79" s="308" t="str">
        <f>GD!B79</f>
        <v/>
      </c>
      <c r="C79" s="384" t="str">
        <f>GD!C79</f>
        <v>£m 18/19</v>
      </c>
      <c r="D79" s="385">
        <v>0</v>
      </c>
      <c r="E79" s="385">
        <v>0</v>
      </c>
      <c r="F79" s="385">
        <v>0</v>
      </c>
      <c r="G79" s="385">
        <v>0</v>
      </c>
      <c r="H79" s="385">
        <v>0</v>
      </c>
      <c r="J79" s="385">
        <v>0</v>
      </c>
      <c r="K79" s="385">
        <v>0</v>
      </c>
      <c r="X79" s="295"/>
    </row>
    <row r="80" spans="2:26">
      <c r="B80" s="308" t="str">
        <f>GD!B80</f>
        <v/>
      </c>
      <c r="C80" s="384" t="str">
        <f>GD!C80</f>
        <v>£m 18/19</v>
      </c>
      <c r="D80" s="385">
        <v>0</v>
      </c>
      <c r="E80" s="385">
        <v>0</v>
      </c>
      <c r="F80" s="385">
        <v>0</v>
      </c>
      <c r="G80" s="385">
        <v>0</v>
      </c>
      <c r="H80" s="385">
        <v>0</v>
      </c>
      <c r="J80" s="385">
        <v>0</v>
      </c>
      <c r="K80" s="385">
        <v>0</v>
      </c>
    </row>
    <row r="81" spans="2:13">
      <c r="B81" s="308" t="str">
        <f>GD!B81</f>
        <v/>
      </c>
      <c r="C81" s="384" t="str">
        <f>GD!C81</f>
        <v>£m 18/19</v>
      </c>
      <c r="D81" s="385">
        <v>0</v>
      </c>
      <c r="E81" s="385">
        <v>0</v>
      </c>
      <c r="F81" s="385">
        <v>0</v>
      </c>
      <c r="G81" s="385">
        <v>0</v>
      </c>
      <c r="H81" s="385">
        <v>0</v>
      </c>
      <c r="J81" s="385">
        <v>0</v>
      </c>
      <c r="K81" s="385">
        <v>0</v>
      </c>
    </row>
    <row r="82" spans="2:13">
      <c r="B82" s="308" t="str">
        <f>GD!B82</f>
        <v>Penalties and fines (Other Activities)</v>
      </c>
      <c r="C82" s="384" t="str">
        <f>GD!C74</f>
        <v>£m 18/19</v>
      </c>
      <c r="D82" s="385">
        <v>-3.4289356739373611</v>
      </c>
      <c r="E82" s="385">
        <v>-6.0008681647041744</v>
      </c>
      <c r="F82" s="385">
        <v>-4.8659479906616729</v>
      </c>
      <c r="G82" s="385">
        <v>-2.1190590891182359</v>
      </c>
      <c r="H82" s="385">
        <v>-2.0869708082352032</v>
      </c>
      <c r="J82" s="385">
        <v>-14.29575182930321</v>
      </c>
      <c r="K82" s="385">
        <v>-18.501781726656649</v>
      </c>
    </row>
    <row r="83" spans="2:13">
      <c r="B83" s="306" t="str">
        <f>GD!B83</f>
        <v>RoRE - Operational performance</v>
      </c>
      <c r="C83" s="384" t="str">
        <f>GD!C83</f>
        <v>£m 18/19</v>
      </c>
      <c r="D83" s="387">
        <v>202.20316767245282</v>
      </c>
      <c r="E83" s="387">
        <v>149.70826112429771</v>
      </c>
      <c r="F83" s="387">
        <v>147.98140097065507</v>
      </c>
      <c r="G83" s="387">
        <v>161.015024179726</v>
      </c>
      <c r="H83" s="387">
        <v>175.48404304778848</v>
      </c>
      <c r="I83" s="177"/>
      <c r="J83" s="387">
        <v>499.89282976740554</v>
      </c>
      <c r="K83" s="387">
        <v>836.39189699491999</v>
      </c>
    </row>
    <row r="84" spans="2:13">
      <c r="B84" s="308" t="str">
        <f>GD!B84</f>
        <v>Debt performance - at notional gearing</v>
      </c>
      <c r="C84" s="384" t="str">
        <f>GD!C84</f>
        <v>£m 18/19</v>
      </c>
      <c r="D84" s="385">
        <v>99.139762436379641</v>
      </c>
      <c r="E84" s="385">
        <v>246.369950720232</v>
      </c>
      <c r="F84" s="385">
        <v>195.51014408000938</v>
      </c>
      <c r="G84" s="385">
        <v>42.579898741860575</v>
      </c>
      <c r="H84" s="385">
        <v>2.4834478201446926</v>
      </c>
      <c r="J84" s="385">
        <v>541.01985723662108</v>
      </c>
      <c r="K84" s="385">
        <v>586.0832037986263</v>
      </c>
      <c r="M84" s="406"/>
    </row>
    <row r="85" spans="2:13">
      <c r="B85" s="308" t="str">
        <f>GD!B85</f>
        <v>Debt performance - impact of actual gearing</v>
      </c>
      <c r="C85" s="384" t="str">
        <f>GD!C85</f>
        <v>£m 18/19</v>
      </c>
      <c r="D85" s="385">
        <v>-0.61255463095922025</v>
      </c>
      <c r="E85" s="385">
        <v>-0.94460465739428656</v>
      </c>
      <c r="F85" s="385">
        <v>-1.6314415593752898</v>
      </c>
      <c r="G85" s="385">
        <v>-0.23000866210569892</v>
      </c>
      <c r="H85" s="385">
        <v>-3.5673344599374457</v>
      </c>
      <c r="J85" s="385">
        <v>-3.1886008477287966</v>
      </c>
      <c r="K85" s="385">
        <v>-6.9859439697719417</v>
      </c>
    </row>
    <row r="86" spans="2:13">
      <c r="B86" s="308" t="str">
        <f>GD!B86</f>
        <v>Tax performance - at notional gearing</v>
      </c>
      <c r="C86" s="384" t="str">
        <f>GD!C86</f>
        <v>£m 18/19</v>
      </c>
      <c r="D86" s="385">
        <v>6.4260637254878858</v>
      </c>
      <c r="E86" s="385">
        <v>9.3407680752283717</v>
      </c>
      <c r="F86" s="385">
        <v>-13.719738585342014</v>
      </c>
      <c r="G86" s="385">
        <v>46.276399691780057</v>
      </c>
      <c r="H86" s="385">
        <v>4.4968710337895388</v>
      </c>
      <c r="J86" s="385">
        <v>2.0470932153742432</v>
      </c>
      <c r="K86" s="385">
        <v>52.820363940943842</v>
      </c>
    </row>
    <row r="87" spans="2:13">
      <c r="B87" s="308" t="str">
        <f>GD!B87</f>
        <v>Tax performance - impact of actual gearing</v>
      </c>
      <c r="C87" s="384" t="str">
        <f>GD!C87</f>
        <v>£m 18/19</v>
      </c>
      <c r="D87" s="385">
        <v>0.11638537988225295</v>
      </c>
      <c r="E87" s="385">
        <v>0.17947488490491104</v>
      </c>
      <c r="F87" s="385">
        <v>0.407860389843826</v>
      </c>
      <c r="G87" s="385">
        <v>5.7502165526422289E-2</v>
      </c>
      <c r="H87" s="385">
        <v>0.89183361498436753</v>
      </c>
      <c r="J87" s="385">
        <v>0.70372065463098998</v>
      </c>
      <c r="K87" s="385">
        <v>1.6530564351417798</v>
      </c>
    </row>
    <row r="88" spans="2:13">
      <c r="B88" s="306" t="str">
        <f>GD!B88</f>
        <v>RoRE - including financing and tax</v>
      </c>
      <c r="C88" s="384" t="str">
        <f>GD!C88</f>
        <v>£m 18/19</v>
      </c>
      <c r="D88" s="387">
        <v>307.27282458324333</v>
      </c>
      <c r="E88" s="387">
        <v>404.65385014726866</v>
      </c>
      <c r="F88" s="387">
        <v>328.54822529579099</v>
      </c>
      <c r="G88" s="387">
        <v>249.69881611678733</v>
      </c>
      <c r="H88" s="387">
        <v>179.78886105676963</v>
      </c>
      <c r="I88" s="177"/>
      <c r="J88" s="387">
        <v>1040.4749000263032</v>
      </c>
      <c r="K88" s="387">
        <v>1469.9625771998601</v>
      </c>
    </row>
    <row r="89" spans="2:13">
      <c r="C89" s="388"/>
      <c r="D89" s="391"/>
    </row>
    <row r="90" spans="2:13">
      <c r="B90" s="308" t="str">
        <f>GD!B90</f>
        <v>NPV-neutral equity RAV based on notional gearing</v>
      </c>
      <c r="C90" s="384" t="str">
        <f>GD!C90</f>
        <v>£m 18/19</v>
      </c>
      <c r="D90" s="385">
        <v>3824.3097138275616</v>
      </c>
      <c r="E90" s="385">
        <v>3865.5851583318845</v>
      </c>
      <c r="F90" s="385">
        <v>3900.2549066020892</v>
      </c>
      <c r="G90" s="385">
        <v>3937.275190203181</v>
      </c>
      <c r="H90" s="385">
        <v>3972.5568276650965</v>
      </c>
    </row>
    <row r="91" spans="2:13">
      <c r="B91" s="308" t="str">
        <f>GD!B91</f>
        <v>Equity RAV based on actual gearing</v>
      </c>
      <c r="C91" s="384" t="str">
        <f>GD!C91</f>
        <v>£m 18/19</v>
      </c>
      <c r="D91" s="385">
        <v>3633.9555416991734</v>
      </c>
      <c r="E91" s="385">
        <v>3905.8005782722767</v>
      </c>
      <c r="F91" s="385">
        <v>4014.9950393244599</v>
      </c>
      <c r="G91" s="385">
        <v>3920.7163041219919</v>
      </c>
      <c r="H91" s="385">
        <v>3813.890382149888</v>
      </c>
    </row>
    <row r="94" spans="2:13">
      <c r="B94" s="306" t="s">
        <v>184</v>
      </c>
      <c r="D94" s="307" t="str">
        <f>GD!D94</f>
        <v>Actuals</v>
      </c>
      <c r="E94" s="307" t="str">
        <f>GD!E94</f>
        <v>Actuals</v>
      </c>
      <c r="F94" s="307" t="str">
        <f>GD!F94</f>
        <v>Actuals</v>
      </c>
      <c r="G94" s="307" t="str">
        <f>GD!G94</f>
        <v>Forecast</v>
      </c>
      <c r="H94" s="307" t="str">
        <f>GD!H94</f>
        <v>Forecast</v>
      </c>
    </row>
    <row r="95" spans="2:13" ht="22.8">
      <c r="D95" s="309">
        <f>GD!D95</f>
        <v>2022</v>
      </c>
      <c r="E95" s="309">
        <f>GD!E95</f>
        <v>2023</v>
      </c>
      <c r="F95" s="309">
        <f>GD!F95</f>
        <v>2024</v>
      </c>
      <c r="G95" s="309">
        <f>GD!G95</f>
        <v>2025</v>
      </c>
      <c r="H95" s="309">
        <f>GD!H95</f>
        <v>2026</v>
      </c>
      <c r="J95" s="310" t="str">
        <f>GD!J95</f>
        <v>Cumulative to 2024</v>
      </c>
      <c r="K95" s="310" t="str">
        <f>GD!K95</f>
        <v>RIIO-2 period</v>
      </c>
    </row>
    <row r="96" spans="2:13">
      <c r="B96" s="308" t="s">
        <v>154</v>
      </c>
      <c r="C96" s="178" t="s">
        <v>178</v>
      </c>
      <c r="D96" s="337">
        <f>SUM(D105,D114,D123,D132)</f>
        <v>981.38019204455372</v>
      </c>
      <c r="E96" s="337">
        <f t="shared" ref="E96:H96" si="31">SUM(E105,E114,E123,E132)</f>
        <v>1068.4665077349327</v>
      </c>
      <c r="F96" s="337">
        <f t="shared" si="31"/>
        <v>1131.7928765013964</v>
      </c>
      <c r="G96" s="337">
        <f t="shared" si="31"/>
        <v>1135.9893086652537</v>
      </c>
      <c r="H96" s="337">
        <f t="shared" si="31"/>
        <v>1097.7024258187944</v>
      </c>
      <c r="I96" s="308"/>
      <c r="J96" s="337">
        <f t="shared" ref="J96:K100" si="32">SUM(J105,J114,J123,J132)</f>
        <v>3181.6395762808834</v>
      </c>
      <c r="K96" s="337">
        <f>SUM(K105,K114,K123,K132)</f>
        <v>5415.3313107649319</v>
      </c>
    </row>
    <row r="97" spans="2:11" ht="22.8">
      <c r="B97" s="312" t="s">
        <v>155</v>
      </c>
      <c r="C97" s="178" t="s">
        <v>178</v>
      </c>
      <c r="D97" s="337">
        <f t="shared" ref="D97:H100" si="33">SUM(D106,D115,D124,D133)</f>
        <v>1038.9045492080079</v>
      </c>
      <c r="E97" s="337">
        <f t="shared" si="33"/>
        <v>1015.0549276437988</v>
      </c>
      <c r="F97" s="337">
        <f t="shared" si="33"/>
        <v>1013.2625241222678</v>
      </c>
      <c r="G97" s="337">
        <f t="shared" si="33"/>
        <v>1010.5684009552076</v>
      </c>
      <c r="H97" s="337">
        <f t="shared" si="33"/>
        <v>1001.5052560830325</v>
      </c>
      <c r="I97" s="308"/>
      <c r="J97" s="337">
        <f t="shared" si="32"/>
        <v>3067.222000974074</v>
      </c>
      <c r="K97" s="337">
        <f t="shared" si="32"/>
        <v>5079.2956580123146</v>
      </c>
    </row>
    <row r="98" spans="2:11">
      <c r="B98" s="306" t="s">
        <v>156</v>
      </c>
      <c r="C98" s="178" t="s">
        <v>178</v>
      </c>
      <c r="D98" s="150">
        <f t="shared" si="33"/>
        <v>57.524357163454098</v>
      </c>
      <c r="E98" s="150">
        <f t="shared" si="33"/>
        <v>-53.411580091133942</v>
      </c>
      <c r="F98" s="150">
        <f t="shared" si="33"/>
        <v>-118.53035237912863</v>
      </c>
      <c r="G98" s="150">
        <f t="shared" si="33"/>
        <v>-125.42090771004621</v>
      </c>
      <c r="H98" s="150">
        <f t="shared" si="33"/>
        <v>-96.19716973576206</v>
      </c>
      <c r="I98" s="306"/>
      <c r="J98" s="150">
        <f t="shared" si="32"/>
        <v>-114.41757530680859</v>
      </c>
      <c r="K98" s="150">
        <f t="shared" si="32"/>
        <v>-336.03565275261678</v>
      </c>
    </row>
    <row r="99" spans="2:11">
      <c r="B99" s="308" t="s">
        <v>157</v>
      </c>
      <c r="C99" s="178" t="s">
        <v>178</v>
      </c>
      <c r="D99" s="337">
        <f t="shared" si="33"/>
        <v>0</v>
      </c>
      <c r="E99" s="337">
        <f t="shared" si="33"/>
        <v>0</v>
      </c>
      <c r="F99" s="337">
        <f t="shared" si="33"/>
        <v>0</v>
      </c>
      <c r="G99" s="337">
        <f t="shared" si="33"/>
        <v>0</v>
      </c>
      <c r="H99" s="337">
        <f t="shared" si="33"/>
        <v>0</v>
      </c>
      <c r="I99" s="308"/>
      <c r="J99" s="337">
        <f t="shared" si="32"/>
        <v>0</v>
      </c>
      <c r="K99" s="337">
        <f t="shared" si="32"/>
        <v>0</v>
      </c>
    </row>
    <row r="100" spans="2:11">
      <c r="B100" s="306" t="s">
        <v>158</v>
      </c>
      <c r="C100" s="178" t="s">
        <v>178</v>
      </c>
      <c r="D100" s="150">
        <f t="shared" si="33"/>
        <v>57.524357163454098</v>
      </c>
      <c r="E100" s="150">
        <f t="shared" si="33"/>
        <v>-53.411580091133942</v>
      </c>
      <c r="F100" s="150">
        <f t="shared" si="33"/>
        <v>-118.53035237912863</v>
      </c>
      <c r="G100" s="150">
        <f t="shared" si="33"/>
        <v>-125.42090771004621</v>
      </c>
      <c r="H100" s="150">
        <f t="shared" si="33"/>
        <v>-96.19716973576206</v>
      </c>
      <c r="I100" s="306"/>
      <c r="J100" s="150">
        <f t="shared" si="32"/>
        <v>-114.41757530680859</v>
      </c>
      <c r="K100" s="150">
        <f t="shared" si="32"/>
        <v>-336.03565275261678</v>
      </c>
    </row>
    <row r="101" spans="2:11">
      <c r="B101" s="306" t="s">
        <v>159</v>
      </c>
      <c r="C101" s="178" t="str">
        <f t="shared" ref="C101" si="34">C110</f>
        <v>%</v>
      </c>
      <c r="D101" s="151">
        <f>D100/D97</f>
        <v>5.5370204324648363E-2</v>
      </c>
      <c r="E101" s="151">
        <f t="shared" ref="E101:H101" si="35">E100/E97</f>
        <v>-5.2619398848804989E-2</v>
      </c>
      <c r="F101" s="151">
        <f t="shared" si="35"/>
        <v>-0.11697891667493061</v>
      </c>
      <c r="G101" s="151">
        <f t="shared" si="35"/>
        <v>-0.1241092711700624</v>
      </c>
      <c r="H101" s="151">
        <f t="shared" si="35"/>
        <v>-9.6052585996399986E-2</v>
      </c>
      <c r="J101" s="151">
        <f>J100/J97</f>
        <v>-3.7303323747179824E-2</v>
      </c>
      <c r="K101" s="151">
        <f>K100/K97</f>
        <v>-6.6157923337764102E-2</v>
      </c>
    </row>
    <row r="103" spans="2:11">
      <c r="B103" s="306" t="s">
        <v>185</v>
      </c>
      <c r="D103" s="307" t="str">
        <f>D94</f>
        <v>Actuals</v>
      </c>
      <c r="E103" s="307" t="str">
        <f t="shared" ref="E103:H103" si="36">E94</f>
        <v>Actuals</v>
      </c>
      <c r="F103" s="307" t="str">
        <f t="shared" si="36"/>
        <v>Actuals</v>
      </c>
      <c r="G103" s="307" t="str">
        <f t="shared" si="36"/>
        <v>Forecast</v>
      </c>
      <c r="H103" s="307" t="str">
        <f t="shared" si="36"/>
        <v>Forecast</v>
      </c>
    </row>
    <row r="104" spans="2:11" ht="22.8">
      <c r="D104" s="309">
        <f t="shared" ref="D104:H104" si="37">D95</f>
        <v>2022</v>
      </c>
      <c r="E104" s="309">
        <f t="shared" si="37"/>
        <v>2023</v>
      </c>
      <c r="F104" s="309">
        <f t="shared" si="37"/>
        <v>2024</v>
      </c>
      <c r="G104" s="309">
        <f t="shared" si="37"/>
        <v>2025</v>
      </c>
      <c r="H104" s="309">
        <f t="shared" si="37"/>
        <v>2026</v>
      </c>
      <c r="J104" s="310" t="str">
        <f>J95</f>
        <v>Cumulative to 2024</v>
      </c>
      <c r="K104" s="310" t="str">
        <f>K95</f>
        <v>RIIO-2 period</v>
      </c>
    </row>
    <row r="105" spans="2:11">
      <c r="B105" s="308" t="s">
        <v>154</v>
      </c>
      <c r="C105" s="178" t="s">
        <v>178</v>
      </c>
      <c r="D105" s="326">
        <v>332.97645758984368</v>
      </c>
      <c r="E105" s="326">
        <v>373.16742208650851</v>
      </c>
      <c r="F105" s="326">
        <v>386.63362843097804</v>
      </c>
      <c r="G105" s="326">
        <v>402.59561156547954</v>
      </c>
      <c r="H105" s="326">
        <v>389.9126148799773</v>
      </c>
      <c r="I105" s="308"/>
      <c r="J105" s="326">
        <v>1092.7775081073305</v>
      </c>
      <c r="K105" s="326">
        <v>1885.2857345527873</v>
      </c>
    </row>
    <row r="106" spans="2:11" ht="22.8">
      <c r="B106" s="312" t="s">
        <v>155</v>
      </c>
      <c r="C106" s="178" t="s">
        <v>178</v>
      </c>
      <c r="D106" s="326">
        <v>342.88029367055333</v>
      </c>
      <c r="E106" s="326">
        <v>331.01611482447379</v>
      </c>
      <c r="F106" s="326">
        <v>331.6106611077264</v>
      </c>
      <c r="G106" s="326">
        <v>340.47568467598876</v>
      </c>
      <c r="H106" s="326">
        <v>327.91687907231017</v>
      </c>
      <c r="I106" s="308"/>
      <c r="J106" s="326">
        <v>1005.5070696027535</v>
      </c>
      <c r="K106" s="326">
        <v>1673.8996333510527</v>
      </c>
    </row>
    <row r="107" spans="2:11">
      <c r="B107" s="306" t="s">
        <v>156</v>
      </c>
      <c r="C107" s="178" t="s">
        <v>178</v>
      </c>
      <c r="D107" s="326">
        <v>9.9038360807096346</v>
      </c>
      <c r="E107" s="326">
        <v>-42.151307262034713</v>
      </c>
      <c r="F107" s="326">
        <v>-55.022967323251599</v>
      </c>
      <c r="G107" s="326">
        <v>-62.119926889490777</v>
      </c>
      <c r="H107" s="326">
        <v>-61.995735807667131</v>
      </c>
      <c r="I107" s="308"/>
      <c r="J107" s="326">
        <v>-87.270438504576788</v>
      </c>
      <c r="K107" s="326">
        <v>-211.38610120173456</v>
      </c>
    </row>
    <row r="108" spans="2:11">
      <c r="B108" s="308" t="s">
        <v>157</v>
      </c>
      <c r="C108" s="178" t="s">
        <v>178</v>
      </c>
      <c r="D108" s="326">
        <v>0</v>
      </c>
      <c r="E108" s="326">
        <v>0</v>
      </c>
      <c r="F108" s="326">
        <v>0</v>
      </c>
      <c r="G108" s="326">
        <v>0</v>
      </c>
      <c r="H108" s="326">
        <v>0</v>
      </c>
      <c r="I108" s="308"/>
      <c r="J108" s="326">
        <v>0</v>
      </c>
      <c r="K108" s="326">
        <v>0</v>
      </c>
    </row>
    <row r="109" spans="2:11">
      <c r="B109" s="306" t="s">
        <v>158</v>
      </c>
      <c r="C109" s="178" t="s">
        <v>178</v>
      </c>
      <c r="D109" s="303">
        <f>D107+D108</f>
        <v>9.9038360807096346</v>
      </c>
      <c r="E109" s="303">
        <f t="shared" ref="E109:K109" si="38">E107+E108</f>
        <v>-42.151307262034713</v>
      </c>
      <c r="F109" s="303">
        <f t="shared" si="38"/>
        <v>-55.022967323251599</v>
      </c>
      <c r="G109" s="303">
        <f t="shared" si="38"/>
        <v>-62.119926889490777</v>
      </c>
      <c r="H109" s="303">
        <f t="shared" si="38"/>
        <v>-61.995735807667131</v>
      </c>
      <c r="I109" s="308"/>
      <c r="J109" s="303">
        <f t="shared" si="38"/>
        <v>-87.270438504576788</v>
      </c>
      <c r="K109" s="303">
        <f t="shared" si="38"/>
        <v>-211.38610120173456</v>
      </c>
    </row>
    <row r="110" spans="2:11">
      <c r="B110" s="306" t="s">
        <v>159</v>
      </c>
      <c r="C110" s="314" t="s">
        <v>163</v>
      </c>
      <c r="D110" s="151">
        <f>D109/D106</f>
        <v>2.8884238212375807E-2</v>
      </c>
      <c r="E110" s="151">
        <f>E109/E106</f>
        <v>-0.12733913961979185</v>
      </c>
      <c r="F110" s="151">
        <f t="shared" ref="F110:H110" si="39">F109/F106</f>
        <v>-0.1659264124363509</v>
      </c>
      <c r="G110" s="151">
        <f t="shared" si="39"/>
        <v>-0.18245040596248968</v>
      </c>
      <c r="H110" s="151">
        <f t="shared" si="39"/>
        <v>-0.18905930058573234</v>
      </c>
      <c r="J110" s="151">
        <f>J109/J106</f>
        <v>-8.6792466351385072E-2</v>
      </c>
      <c r="K110" s="151">
        <f>K109/K106</f>
        <v>-0.12628361760170262</v>
      </c>
    </row>
    <row r="112" spans="2:11">
      <c r="B112" s="306" t="s">
        <v>186</v>
      </c>
      <c r="D112" s="307" t="str">
        <f>D94</f>
        <v>Actuals</v>
      </c>
      <c r="E112" s="307" t="str">
        <f t="shared" ref="E112:H112" si="40">E94</f>
        <v>Actuals</v>
      </c>
      <c r="F112" s="307" t="str">
        <f t="shared" si="40"/>
        <v>Actuals</v>
      </c>
      <c r="G112" s="307" t="str">
        <f t="shared" si="40"/>
        <v>Forecast</v>
      </c>
      <c r="H112" s="307" t="str">
        <f t="shared" si="40"/>
        <v>Forecast</v>
      </c>
    </row>
    <row r="113" spans="2:11" ht="22.8">
      <c r="D113" s="309">
        <f t="shared" ref="D113:H113" si="41">D95</f>
        <v>2022</v>
      </c>
      <c r="E113" s="309">
        <f t="shared" si="41"/>
        <v>2023</v>
      </c>
      <c r="F113" s="309">
        <f t="shared" si="41"/>
        <v>2024</v>
      </c>
      <c r="G113" s="309">
        <f t="shared" si="41"/>
        <v>2025</v>
      </c>
      <c r="H113" s="309">
        <f t="shared" si="41"/>
        <v>2026</v>
      </c>
      <c r="J113" s="310" t="str">
        <f>J95</f>
        <v>Cumulative to 2024</v>
      </c>
      <c r="K113" s="310" t="str">
        <f>K95</f>
        <v>RIIO-2 period</v>
      </c>
    </row>
    <row r="114" spans="2:11">
      <c r="B114" s="308" t="s">
        <v>154</v>
      </c>
      <c r="C114" s="178" t="s">
        <v>178</v>
      </c>
      <c r="D114" s="326">
        <v>254.12216760813592</v>
      </c>
      <c r="E114" s="326">
        <v>279.90801428234016</v>
      </c>
      <c r="F114" s="326">
        <v>305.38618300159328</v>
      </c>
      <c r="G114" s="326">
        <v>301.14552566434577</v>
      </c>
      <c r="H114" s="326">
        <v>288.50942159685644</v>
      </c>
      <c r="I114" s="308"/>
      <c r="J114" s="326">
        <v>839.4163648920694</v>
      </c>
      <c r="K114" s="326">
        <v>1429.0713121532715</v>
      </c>
    </row>
    <row r="115" spans="2:11" ht="22.8">
      <c r="B115" s="312" t="s">
        <v>155</v>
      </c>
      <c r="C115" s="178" t="s">
        <v>178</v>
      </c>
      <c r="D115" s="326">
        <v>270.01153601506394</v>
      </c>
      <c r="E115" s="326">
        <v>263.68630976171539</v>
      </c>
      <c r="F115" s="326">
        <v>263.12261230441686</v>
      </c>
      <c r="G115" s="326">
        <v>257.85777836147457</v>
      </c>
      <c r="H115" s="326">
        <v>250.88465975127721</v>
      </c>
      <c r="I115" s="308"/>
      <c r="J115" s="326">
        <v>796.82045808119619</v>
      </c>
      <c r="K115" s="326">
        <v>1305.5628961939481</v>
      </c>
    </row>
    <row r="116" spans="2:11">
      <c r="B116" s="306" t="s">
        <v>156</v>
      </c>
      <c r="C116" s="178" t="s">
        <v>178</v>
      </c>
      <c r="D116" s="326">
        <v>15.889368406928053</v>
      </c>
      <c r="E116" s="326">
        <v>-16.221704520624794</v>
      </c>
      <c r="F116" s="326">
        <v>-42.263570697176455</v>
      </c>
      <c r="G116" s="326">
        <v>-43.287747302871146</v>
      </c>
      <c r="H116" s="326">
        <v>-37.624761845579187</v>
      </c>
      <c r="I116" s="308"/>
      <c r="J116" s="326">
        <v>-42.595906810873167</v>
      </c>
      <c r="K116" s="326">
        <v>-123.50841595932353</v>
      </c>
    </row>
    <row r="117" spans="2:11">
      <c r="B117" s="308" t="s">
        <v>157</v>
      </c>
      <c r="C117" s="178" t="s">
        <v>178</v>
      </c>
      <c r="D117" s="326">
        <v>0</v>
      </c>
      <c r="E117" s="326">
        <v>0</v>
      </c>
      <c r="F117" s="326">
        <v>0</v>
      </c>
      <c r="G117" s="326">
        <v>0</v>
      </c>
      <c r="H117" s="326">
        <v>0</v>
      </c>
      <c r="I117" s="308"/>
      <c r="J117" s="326">
        <v>0</v>
      </c>
      <c r="K117" s="326">
        <v>0</v>
      </c>
    </row>
    <row r="118" spans="2:11">
      <c r="B118" s="306" t="s">
        <v>158</v>
      </c>
      <c r="C118" s="178" t="s">
        <v>178</v>
      </c>
      <c r="D118" s="303">
        <f>D116+D117</f>
        <v>15.889368406928053</v>
      </c>
      <c r="E118" s="303">
        <f t="shared" ref="E118:H118" si="42">E116+E117</f>
        <v>-16.221704520624794</v>
      </c>
      <c r="F118" s="303">
        <f t="shared" si="42"/>
        <v>-42.263570697176455</v>
      </c>
      <c r="G118" s="303">
        <f t="shared" si="42"/>
        <v>-43.287747302871146</v>
      </c>
      <c r="H118" s="303">
        <f t="shared" si="42"/>
        <v>-37.624761845579187</v>
      </c>
      <c r="I118" s="308"/>
      <c r="J118" s="303">
        <f>J116+J117</f>
        <v>-42.595906810873167</v>
      </c>
      <c r="K118" s="303">
        <f>K116+K117</f>
        <v>-123.50841595932353</v>
      </c>
    </row>
    <row r="119" spans="2:11">
      <c r="B119" s="306" t="s">
        <v>159</v>
      </c>
      <c r="C119" s="314" t="s">
        <v>163</v>
      </c>
      <c r="D119" s="151">
        <f t="shared" ref="D119:H119" si="43">D118/D115</f>
        <v>5.8846998322477549E-2</v>
      </c>
      <c r="E119" s="151">
        <f t="shared" si="43"/>
        <v>-6.1518948538829388E-2</v>
      </c>
      <c r="F119" s="151">
        <f t="shared" si="43"/>
        <v>-0.16062310390974713</v>
      </c>
      <c r="G119" s="151">
        <f t="shared" si="43"/>
        <v>-0.16787450655139355</v>
      </c>
      <c r="H119" s="151">
        <f t="shared" si="43"/>
        <v>-0.14996836348176781</v>
      </c>
      <c r="J119" s="151">
        <f>J118/J115</f>
        <v>-5.3457345853603365E-2</v>
      </c>
      <c r="K119" s="151">
        <f>K118/K115</f>
        <v>-9.4601659038704572E-2</v>
      </c>
    </row>
    <row r="121" spans="2:11">
      <c r="B121" s="306" t="s">
        <v>187</v>
      </c>
      <c r="D121" s="307" t="str">
        <f>D94</f>
        <v>Actuals</v>
      </c>
      <c r="E121" s="307" t="str">
        <f t="shared" ref="E121:H121" si="44">E94</f>
        <v>Actuals</v>
      </c>
      <c r="F121" s="307" t="str">
        <f t="shared" si="44"/>
        <v>Actuals</v>
      </c>
      <c r="G121" s="307" t="str">
        <f t="shared" si="44"/>
        <v>Forecast</v>
      </c>
      <c r="H121" s="307" t="str">
        <f t="shared" si="44"/>
        <v>Forecast</v>
      </c>
    </row>
    <row r="122" spans="2:11" ht="22.8">
      <c r="D122" s="309">
        <f t="shared" ref="D122:H122" si="45">D95</f>
        <v>2022</v>
      </c>
      <c r="E122" s="309">
        <f t="shared" si="45"/>
        <v>2023</v>
      </c>
      <c r="F122" s="309">
        <f t="shared" si="45"/>
        <v>2024</v>
      </c>
      <c r="G122" s="309">
        <f t="shared" si="45"/>
        <v>2025</v>
      </c>
      <c r="H122" s="309">
        <f t="shared" si="45"/>
        <v>2026</v>
      </c>
      <c r="J122" s="310" t="str">
        <f>J95</f>
        <v>Cumulative to 2024</v>
      </c>
      <c r="K122" s="310" t="str">
        <f>K95</f>
        <v>RIIO-2 period</v>
      </c>
    </row>
    <row r="123" spans="2:11">
      <c r="B123" s="308" t="s">
        <v>154</v>
      </c>
      <c r="C123" s="178" t="s">
        <v>178</v>
      </c>
      <c r="D123" s="326">
        <v>235.02229331259571</v>
      </c>
      <c r="E123" s="326">
        <v>244.769691697003</v>
      </c>
      <c r="F123" s="326">
        <v>260.52225459342071</v>
      </c>
      <c r="G123" s="326">
        <v>245.46100623154842</v>
      </c>
      <c r="H123" s="326">
        <v>243.29673125112606</v>
      </c>
      <c r="I123" s="308"/>
      <c r="J123" s="326">
        <v>740.31423960301947</v>
      </c>
      <c r="K123" s="326">
        <v>1229.071977085694</v>
      </c>
    </row>
    <row r="124" spans="2:11" ht="22.8">
      <c r="B124" s="312" t="s">
        <v>155</v>
      </c>
      <c r="C124" s="178" t="s">
        <v>178</v>
      </c>
      <c r="D124" s="326">
        <v>239.75993723758367</v>
      </c>
      <c r="E124" s="326">
        <v>240.10868856394478</v>
      </c>
      <c r="F124" s="326">
        <v>237.22646694850692</v>
      </c>
      <c r="G124" s="326">
        <v>231.72247433632026</v>
      </c>
      <c r="H124" s="326">
        <v>242.01740962685838</v>
      </c>
      <c r="I124" s="308"/>
      <c r="J124" s="326">
        <v>717.09509275003529</v>
      </c>
      <c r="K124" s="326">
        <v>1190.834976713214</v>
      </c>
    </row>
    <row r="125" spans="2:11">
      <c r="B125" s="306" t="s">
        <v>156</v>
      </c>
      <c r="C125" s="178" t="s">
        <v>178</v>
      </c>
      <c r="D125" s="326">
        <v>4.7376439249879621</v>
      </c>
      <c r="E125" s="326">
        <v>-4.661003133058232</v>
      </c>
      <c r="F125" s="326">
        <v>-23.295787644913773</v>
      </c>
      <c r="G125" s="326">
        <v>-13.738531895228142</v>
      </c>
      <c r="H125" s="326">
        <v>-1.2793216242676664</v>
      </c>
      <c r="I125" s="308"/>
      <c r="J125" s="326">
        <v>-23.219146852984096</v>
      </c>
      <c r="K125" s="326">
        <v>-38.237000372479955</v>
      </c>
    </row>
    <row r="126" spans="2:11">
      <c r="B126" s="308" t="s">
        <v>157</v>
      </c>
      <c r="C126" s="178" t="s">
        <v>178</v>
      </c>
      <c r="D126" s="326">
        <v>0</v>
      </c>
      <c r="E126" s="326">
        <v>0</v>
      </c>
      <c r="F126" s="326">
        <v>0</v>
      </c>
      <c r="G126" s="326">
        <v>0</v>
      </c>
      <c r="H126" s="326">
        <v>0</v>
      </c>
      <c r="I126" s="308"/>
      <c r="J126" s="326">
        <v>0</v>
      </c>
      <c r="K126" s="326">
        <v>0</v>
      </c>
    </row>
    <row r="127" spans="2:11">
      <c r="B127" s="306" t="s">
        <v>158</v>
      </c>
      <c r="C127" s="178" t="s">
        <v>178</v>
      </c>
      <c r="D127" s="303">
        <f>D125+D126</f>
        <v>4.7376439249879621</v>
      </c>
      <c r="E127" s="303">
        <f t="shared" ref="E127:H127" si="46">E125+E126</f>
        <v>-4.661003133058232</v>
      </c>
      <c r="F127" s="303">
        <f t="shared" si="46"/>
        <v>-23.295787644913773</v>
      </c>
      <c r="G127" s="303">
        <f t="shared" si="46"/>
        <v>-13.738531895228142</v>
      </c>
      <c r="H127" s="303">
        <f t="shared" si="46"/>
        <v>-1.2793216242676664</v>
      </c>
      <c r="I127" s="308"/>
      <c r="J127" s="303">
        <f>J125+J126</f>
        <v>-23.219146852984096</v>
      </c>
      <c r="K127" s="303">
        <f>K125+K126</f>
        <v>-38.237000372479955</v>
      </c>
    </row>
    <row r="128" spans="2:11">
      <c r="B128" s="306" t="s">
        <v>159</v>
      </c>
      <c r="C128" s="314" t="s">
        <v>163</v>
      </c>
      <c r="D128" s="151">
        <f t="shared" ref="D128:H128" si="47">D127/D124</f>
        <v>1.97599481363449E-2</v>
      </c>
      <c r="E128" s="151">
        <f t="shared" si="47"/>
        <v>-1.9412055269365784E-2</v>
      </c>
      <c r="F128" s="151">
        <f t="shared" si="47"/>
        <v>-9.8200626365903876E-2</v>
      </c>
      <c r="G128" s="151">
        <f t="shared" si="47"/>
        <v>-5.9288732931826633E-2</v>
      </c>
      <c r="H128" s="151">
        <f t="shared" si="47"/>
        <v>-5.2860727095630023E-3</v>
      </c>
      <c r="J128" s="151">
        <f>J127/J124</f>
        <v>-3.237945300105103E-2</v>
      </c>
      <c r="K128" s="151">
        <f>K127/K124</f>
        <v>-3.2109403166857502E-2</v>
      </c>
    </row>
    <row r="130" spans="2:11">
      <c r="B130" s="306" t="s">
        <v>188</v>
      </c>
      <c r="D130" s="307" t="str">
        <f>D94</f>
        <v>Actuals</v>
      </c>
      <c r="E130" s="307" t="str">
        <f t="shared" ref="E130:H130" si="48">E94</f>
        <v>Actuals</v>
      </c>
      <c r="F130" s="307" t="str">
        <f t="shared" si="48"/>
        <v>Actuals</v>
      </c>
      <c r="G130" s="307" t="str">
        <f t="shared" si="48"/>
        <v>Forecast</v>
      </c>
      <c r="H130" s="307" t="str">
        <f t="shared" si="48"/>
        <v>Forecast</v>
      </c>
    </row>
    <row r="131" spans="2:11" ht="22.8">
      <c r="D131" s="309">
        <f t="shared" ref="D131:H131" si="49">D95</f>
        <v>2022</v>
      </c>
      <c r="E131" s="309">
        <f t="shared" si="49"/>
        <v>2023</v>
      </c>
      <c r="F131" s="309">
        <f t="shared" si="49"/>
        <v>2024</v>
      </c>
      <c r="G131" s="309">
        <f t="shared" si="49"/>
        <v>2025</v>
      </c>
      <c r="H131" s="309">
        <f t="shared" si="49"/>
        <v>2026</v>
      </c>
      <c r="J131" s="310" t="str">
        <f>J95</f>
        <v>Cumulative to 2024</v>
      </c>
      <c r="K131" s="310" t="str">
        <f>K95</f>
        <v>RIIO-2 period</v>
      </c>
    </row>
    <row r="132" spans="2:11">
      <c r="B132" s="308" t="s">
        <v>154</v>
      </c>
      <c r="C132" s="178" t="s">
        <v>178</v>
      </c>
      <c r="D132" s="326">
        <v>159.25927353397844</v>
      </c>
      <c r="E132" s="326">
        <v>170.62137966908111</v>
      </c>
      <c r="F132" s="326">
        <v>179.25081047540448</v>
      </c>
      <c r="G132" s="326">
        <v>186.78716520388014</v>
      </c>
      <c r="H132" s="326">
        <v>175.98365809083475</v>
      </c>
      <c r="I132" s="308"/>
      <c r="J132" s="326">
        <v>509.131463678464</v>
      </c>
      <c r="K132" s="326">
        <v>871.90228697317889</v>
      </c>
    </row>
    <row r="133" spans="2:11" ht="22.8">
      <c r="B133" s="312" t="s">
        <v>155</v>
      </c>
      <c r="C133" s="178" t="s">
        <v>178</v>
      </c>
      <c r="D133" s="326">
        <v>186.25278228480693</v>
      </c>
      <c r="E133" s="326">
        <v>180.2438144936649</v>
      </c>
      <c r="F133" s="326">
        <v>181.30278376161766</v>
      </c>
      <c r="G133" s="326">
        <v>180.51246358142399</v>
      </c>
      <c r="H133" s="326">
        <v>180.68630763258665</v>
      </c>
      <c r="I133" s="308"/>
      <c r="J133" s="326">
        <v>547.79938054008949</v>
      </c>
      <c r="K133" s="326">
        <v>908.99815175410015</v>
      </c>
    </row>
    <row r="134" spans="2:11">
      <c r="B134" s="306" t="s">
        <v>156</v>
      </c>
      <c r="C134" s="178" t="s">
        <v>178</v>
      </c>
      <c r="D134" s="326">
        <v>26.99350875082845</v>
      </c>
      <c r="E134" s="326">
        <v>9.6224348245837916</v>
      </c>
      <c r="F134" s="326">
        <v>2.0519732862131983</v>
      </c>
      <c r="G134" s="326">
        <v>-6.2747016224561456</v>
      </c>
      <c r="H134" s="326">
        <v>4.7026495417519172</v>
      </c>
      <c r="I134" s="308"/>
      <c r="J134" s="326">
        <v>38.667916861625471</v>
      </c>
      <c r="K134" s="326">
        <v>37.095864780921247</v>
      </c>
    </row>
    <row r="135" spans="2:11">
      <c r="B135" s="308" t="s">
        <v>157</v>
      </c>
      <c r="C135" s="178" t="s">
        <v>178</v>
      </c>
      <c r="D135" s="326">
        <v>0</v>
      </c>
      <c r="E135" s="326">
        <v>0</v>
      </c>
      <c r="F135" s="326">
        <v>0</v>
      </c>
      <c r="G135" s="326">
        <v>0</v>
      </c>
      <c r="H135" s="326">
        <v>0</v>
      </c>
      <c r="I135" s="308"/>
      <c r="J135" s="326">
        <v>0</v>
      </c>
      <c r="K135" s="326">
        <v>0</v>
      </c>
    </row>
    <row r="136" spans="2:11">
      <c r="B136" s="306" t="s">
        <v>158</v>
      </c>
      <c r="C136" s="178" t="s">
        <v>178</v>
      </c>
      <c r="D136" s="303">
        <f>D134+D135</f>
        <v>26.99350875082845</v>
      </c>
      <c r="E136" s="303">
        <f t="shared" ref="E136:H136" si="50">E134+E135</f>
        <v>9.6224348245837916</v>
      </c>
      <c r="F136" s="303">
        <f t="shared" si="50"/>
        <v>2.0519732862131983</v>
      </c>
      <c r="G136" s="303">
        <f t="shared" si="50"/>
        <v>-6.2747016224561456</v>
      </c>
      <c r="H136" s="303">
        <f t="shared" si="50"/>
        <v>4.7026495417519172</v>
      </c>
      <c r="I136" s="308"/>
      <c r="J136" s="303">
        <f>J134+J135</f>
        <v>38.667916861625471</v>
      </c>
      <c r="K136" s="303">
        <f>K134+K135</f>
        <v>37.095864780921247</v>
      </c>
    </row>
    <row r="137" spans="2:11">
      <c r="B137" s="306" t="s">
        <v>159</v>
      </c>
      <c r="C137" s="314" t="s">
        <v>163</v>
      </c>
      <c r="D137" s="151">
        <f t="shared" ref="D137:H137" si="51">D136/D133</f>
        <v>0.14492942558866878</v>
      </c>
      <c r="E137" s="151">
        <f t="shared" si="51"/>
        <v>5.3385659039755812E-2</v>
      </c>
      <c r="F137" s="151">
        <f t="shared" si="51"/>
        <v>1.1317935906109387E-2</v>
      </c>
      <c r="G137" s="151">
        <f t="shared" si="51"/>
        <v>-3.4760489652426729E-2</v>
      </c>
      <c r="H137" s="151">
        <f t="shared" si="51"/>
        <v>2.6026596056821505E-2</v>
      </c>
      <c r="J137" s="151">
        <f>J136/J133</f>
        <v>7.0587733822374502E-2</v>
      </c>
      <c r="K137" s="151">
        <f>K136/K133</f>
        <v>4.0809615189356649E-2</v>
      </c>
    </row>
  </sheetData>
  <phoneticPr fontId="218" type="noConversion"/>
  <conditionalFormatting sqref="D6:G7 D94:G95 D103:G104">
    <cfRule type="expression" dxfId="46" priority="36">
      <formula>AND(D$6="Actuals",E$6="Forecast")</formula>
    </cfRule>
  </conditionalFormatting>
  <conditionalFormatting sqref="D112:G113">
    <cfRule type="expression" dxfId="45" priority="8">
      <formula>AND(D$6="Actuals",E$6="Forecast")</formula>
    </cfRule>
  </conditionalFormatting>
  <conditionalFormatting sqref="D121:G122">
    <cfRule type="expression" dxfId="44" priority="5">
      <formula>AND(D$6="Actuals",E$6="Forecast")</formula>
    </cfRule>
  </conditionalFormatting>
  <conditionalFormatting sqref="D130:G131">
    <cfRule type="expression" dxfId="43" priority="2">
      <formula>AND(D$6="Actuals",E$6="Forecast")</formula>
    </cfRule>
  </conditionalFormatting>
  <conditionalFormatting sqref="H6:H7 H94:H95 H103:H104 H112:H113 H121:H122 H130:H131">
    <cfRule type="expression" dxfId="42" priority="39">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60" max="16383" man="1"/>
    <brk id="120" max="16383" man="1"/>
  </rowBreaks>
  <ignoredErrors>
    <ignoredError sqref="J29:K29"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5" tint="0.39997558519241921"/>
  </sheetPr>
  <dimension ref="A1:M101"/>
  <sheetViews>
    <sheetView zoomScale="80" zoomScaleNormal="80" workbookViewId="0"/>
  </sheetViews>
  <sheetFormatPr defaultColWidth="9.26953125" defaultRowHeight="11.4"/>
  <cols>
    <col min="1" max="1" width="7.26953125" style="104" customWidth="1"/>
    <col min="2" max="2" width="51.7265625" style="308" customWidth="1"/>
    <col min="3" max="3" width="8.6328125" style="104" bestFit="1" customWidth="1"/>
    <col min="4" max="8" width="9.08984375" style="104" customWidth="1"/>
    <col min="9" max="9" width="3.6328125" style="104" customWidth="1"/>
    <col min="10" max="11" width="13.7265625" style="104" customWidth="1"/>
    <col min="12" max="12" width="5.08984375" style="104" customWidth="1"/>
    <col min="13" max="16384" width="9.26953125" style="104"/>
  </cols>
  <sheetData>
    <row r="1" spans="1:13" s="111" customFormat="1" ht="57" customHeight="1"/>
    <row r="2" spans="1:13" ht="15.6">
      <c r="A2" s="419" t="s">
        <v>162</v>
      </c>
      <c r="B2" s="346"/>
      <c r="C2" s="347"/>
      <c r="D2" s="347"/>
      <c r="E2" s="347"/>
      <c r="F2" s="347"/>
      <c r="G2" s="347"/>
      <c r="H2" s="347"/>
      <c r="I2" s="348"/>
      <c r="J2" s="348"/>
      <c r="K2" s="348"/>
      <c r="L2" s="349" t="s">
        <v>30</v>
      </c>
    </row>
    <row r="3" spans="1:13" ht="15.6">
      <c r="A3" s="425" t="s">
        <v>13</v>
      </c>
      <c r="B3" s="350"/>
      <c r="C3" s="351"/>
      <c r="D3" s="351"/>
      <c r="E3" s="351"/>
      <c r="F3" s="351"/>
      <c r="G3" s="351"/>
      <c r="H3" s="351"/>
      <c r="I3" s="352"/>
      <c r="J3" s="352"/>
      <c r="K3" s="352"/>
      <c r="L3" s="353"/>
    </row>
    <row r="4" spans="1:13" ht="15.6">
      <c r="A4" s="430">
        <f>Data!$B$3</f>
        <v>2024</v>
      </c>
      <c r="B4" s="354"/>
      <c r="C4" s="355"/>
      <c r="D4" s="355"/>
      <c r="E4" s="355"/>
      <c r="F4" s="355"/>
      <c r="G4" s="355"/>
      <c r="H4" s="355"/>
      <c r="I4" s="356"/>
      <c r="J4" s="356"/>
      <c r="K4" s="356"/>
      <c r="L4" s="357"/>
    </row>
    <row r="5" spans="1:13" ht="12.75" customHeight="1">
      <c r="J5" s="358"/>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GD!B11</f>
        <v>Allowed Equity Return</v>
      </c>
      <c r="C11" s="370" t="s">
        <v>163</v>
      </c>
      <c r="D11" s="284">
        <f t="shared" ref="D11:H18" si="1">D65/D$90</f>
        <v>4.5181881000000007E-2</v>
      </c>
      <c r="E11" s="371">
        <f t="shared" si="1"/>
        <v>4.5568104999999998E-2</v>
      </c>
      <c r="F11" s="371">
        <f t="shared" si="1"/>
        <v>5.2833943999999994E-2</v>
      </c>
      <c r="G11" s="371">
        <f t="shared" si="1"/>
        <v>5.5875458000000003E-2</v>
      </c>
      <c r="H11" s="371">
        <f t="shared" si="1"/>
        <v>5.5175426999999992E-2</v>
      </c>
      <c r="I11" s="194"/>
      <c r="J11" s="284">
        <f>AVERAGE(D65:INDEX(D65:H65,0,MATCH(Data!$B$3,$D$7:$H$7,0)))/AVERAGE($D$90:INDEX($D$90:$H$90,0,MATCH(Data!$B$3,$D$7:$H$7,0)))</f>
        <v>4.7893085327260977E-2</v>
      </c>
      <c r="K11" s="285">
        <f t="shared" ref="K11:K18" si="2">AVERAGE(D65:H65)/AVERAGE($D$90:$H$90)</f>
        <v>5.1000738042294567E-2</v>
      </c>
      <c r="M11" s="198"/>
    </row>
    <row r="12" spans="1:13">
      <c r="B12" s="369" t="str">
        <f>GD!B12</f>
        <v>Totex outperformance</v>
      </c>
      <c r="C12" s="370" t="s">
        <v>163</v>
      </c>
      <c r="D12" s="282">
        <f t="shared" si="1"/>
        <v>2.2853306048982509E-2</v>
      </c>
      <c r="E12" s="283">
        <f t="shared" si="1"/>
        <v>1.9791038809685906E-2</v>
      </c>
      <c r="F12" s="283">
        <f t="shared" si="1"/>
        <v>2.0247559854658773E-3</v>
      </c>
      <c r="G12" s="283">
        <f t="shared" si="1"/>
        <v>-1.0203032311287292E-2</v>
      </c>
      <c r="H12" s="283">
        <f t="shared" si="1"/>
        <v>-4.2171507925542655E-3</v>
      </c>
      <c r="I12" s="194"/>
      <c r="J12" s="284">
        <f>AVERAGE(D66:INDEX(D66:H66,0,MATCH(Data!$B$3,$D$7:$H$7,0)))/AVERAGE($D$90:INDEX($D$90:$H$90,0,MATCH(Data!$B$3,$D$7:$H$7,0)))</f>
        <v>1.480252579350208E-2</v>
      </c>
      <c r="K12" s="285">
        <f t="shared" si="2"/>
        <v>5.8446710184799295E-3</v>
      </c>
      <c r="M12" s="198"/>
    </row>
    <row r="13" spans="1:13">
      <c r="B13" s="369" t="str">
        <f>GD!B13</f>
        <v>Business Plan Incentive</v>
      </c>
      <c r="C13" s="370" t="s">
        <v>163</v>
      </c>
      <c r="D13" s="282">
        <f t="shared" si="1"/>
        <v>1.2983047792352632E-3</v>
      </c>
      <c r="E13" s="283">
        <f t="shared" si="1"/>
        <v>1.279569124523897E-3</v>
      </c>
      <c r="F13" s="283">
        <f t="shared" si="1"/>
        <v>1.2651780560281748E-3</v>
      </c>
      <c r="G13" s="283">
        <f t="shared" si="1"/>
        <v>1.2504092957389868E-3</v>
      </c>
      <c r="H13" s="283">
        <f t="shared" si="1"/>
        <v>1.2350814922861373E-3</v>
      </c>
      <c r="I13" s="194"/>
      <c r="J13" s="284">
        <f>AVERAGE(D67:INDEX(D67:H67,0,MATCH(Data!$B$3,$D$7:$H$7,0)))/AVERAGE($D$90:INDEX($D$90:$H$90,0,MATCH(Data!$B$3,$D$7:$H$7,0)))</f>
        <v>1.2808739604278725E-3</v>
      </c>
      <c r="K13" s="285">
        <f t="shared" si="2"/>
        <v>1.2653255816718945E-3</v>
      </c>
      <c r="M13" s="198"/>
    </row>
    <row r="14" spans="1:13">
      <c r="B14" s="369" t="str">
        <f>GD!B14</f>
        <v>Customer Satisfaction Survey ODI</v>
      </c>
      <c r="C14" s="370" t="s">
        <v>163</v>
      </c>
      <c r="D14" s="282">
        <f t="shared" si="1"/>
        <v>1.5410987394548019E-3</v>
      </c>
      <c r="E14" s="283">
        <f t="shared" si="1"/>
        <v>1.822985774296974E-3</v>
      </c>
      <c r="F14" s="283">
        <f t="shared" si="1"/>
        <v>1.7224405143556945E-3</v>
      </c>
      <c r="G14" s="283">
        <f t="shared" si="1"/>
        <v>1.7023340076488327E-3</v>
      </c>
      <c r="H14" s="283">
        <f t="shared" si="1"/>
        <v>1.6814664076003846E-3</v>
      </c>
      <c r="I14" s="194"/>
      <c r="J14" s="284">
        <f>AVERAGE(D68:INDEX(D68:H68,0,MATCH(Data!$B$3,$D$7:$H$7,0)))/AVERAGE($D$90:INDEX($D$90:$H$90,0,MATCH(Data!$B$3,$D$7:$H$7,0)))</f>
        <v>1.6963540741818152E-3</v>
      </c>
      <c r="K14" s="285">
        <f t="shared" si="2"/>
        <v>1.6945138822083189E-3</v>
      </c>
      <c r="M14" s="198"/>
    </row>
    <row r="15" spans="1:13">
      <c r="B15" s="369" t="str">
        <f>GD!B15</f>
        <v>Complaints metric ODI</v>
      </c>
      <c r="C15" s="370" t="s">
        <v>163</v>
      </c>
      <c r="D15" s="282">
        <f t="shared" si="1"/>
        <v>0</v>
      </c>
      <c r="E15" s="283">
        <f t="shared" si="1"/>
        <v>0</v>
      </c>
      <c r="F15" s="283">
        <f t="shared" si="1"/>
        <v>0</v>
      </c>
      <c r="G15" s="283">
        <f t="shared" si="1"/>
        <v>0</v>
      </c>
      <c r="H15" s="283">
        <f t="shared" si="1"/>
        <v>0</v>
      </c>
      <c r="I15" s="194"/>
      <c r="J15" s="284">
        <f>AVERAGE(D69:INDEX(D69:H69,0,MATCH(Data!$B$3,$D$7:$H$7,0)))/AVERAGE($D$90:INDEX($D$90:$H$90,0,MATCH(Data!$B$3,$D$7:$H$7,0)))</f>
        <v>0</v>
      </c>
      <c r="K15" s="285">
        <f t="shared" si="2"/>
        <v>0</v>
      </c>
      <c r="M15" s="198"/>
    </row>
    <row r="16" spans="1:13">
      <c r="B16" s="369" t="str">
        <f>GD!B16</f>
        <v>Unplanned Interruption Mean Duration ODI [NGN, SGN and WWU]</v>
      </c>
      <c r="C16" s="370" t="s">
        <v>163</v>
      </c>
      <c r="D16" s="282">
        <f t="shared" si="1"/>
        <v>0</v>
      </c>
      <c r="E16" s="283">
        <f t="shared" si="1"/>
        <v>0</v>
      </c>
      <c r="F16" s="283">
        <f t="shared" si="1"/>
        <v>0</v>
      </c>
      <c r="G16" s="283">
        <f t="shared" si="1"/>
        <v>0</v>
      </c>
      <c r="H16" s="283">
        <f t="shared" si="1"/>
        <v>0</v>
      </c>
      <c r="I16" s="194"/>
      <c r="J16" s="284">
        <f>AVERAGE(D70:INDEX(D70:H70,0,MATCH(Data!$B$3,$D$7:$H$7,0)))/AVERAGE($D$90:INDEX($D$90:$H$90,0,MATCH(Data!$B$3,$D$7:$H$7,0)))</f>
        <v>0</v>
      </c>
      <c r="K16" s="285">
        <f t="shared" si="2"/>
        <v>0</v>
      </c>
      <c r="M16" s="198"/>
    </row>
    <row r="17" spans="2:13">
      <c r="B17" s="369" t="str">
        <f>GD!B17</f>
        <v>Unplanned Interruption Mean Duration ODI [Cadent only]</v>
      </c>
      <c r="C17" s="370" t="s">
        <v>163</v>
      </c>
      <c r="D17" s="282">
        <f t="shared" si="1"/>
        <v>0</v>
      </c>
      <c r="E17" s="283">
        <f t="shared" si="1"/>
        <v>0</v>
      </c>
      <c r="F17" s="283">
        <f t="shared" si="1"/>
        <v>0</v>
      </c>
      <c r="G17" s="283">
        <f t="shared" si="1"/>
        <v>0</v>
      </c>
      <c r="H17" s="283">
        <f t="shared" si="1"/>
        <v>0</v>
      </c>
      <c r="I17" s="194"/>
      <c r="J17" s="284">
        <f>AVERAGE(D71:INDEX(D71:H71,0,MATCH(Data!$B$3,$D$7:$H$7,0)))/AVERAGE($D$90:INDEX($D$90:$H$90,0,MATCH(Data!$B$3,$D$7:$H$7,0)))</f>
        <v>0</v>
      </c>
      <c r="K17" s="285">
        <f t="shared" si="2"/>
        <v>0</v>
      </c>
      <c r="M17" s="198"/>
    </row>
    <row r="18" spans="2:13">
      <c r="B18" s="369" t="str">
        <f>GD!B18</f>
        <v>Shrinkage Management ODI</v>
      </c>
      <c r="C18" s="370" t="s">
        <v>163</v>
      </c>
      <c r="D18" s="282">
        <f t="shared" si="1"/>
        <v>-3.7976537038255319E-4</v>
      </c>
      <c r="E18" s="283">
        <f t="shared" si="1"/>
        <v>4.0235031802388028E-4</v>
      </c>
      <c r="F18" s="283">
        <f t="shared" si="1"/>
        <v>4.4285569343873729E-4</v>
      </c>
      <c r="G18" s="283">
        <f t="shared" si="1"/>
        <v>3.1028506422143805E-4</v>
      </c>
      <c r="H18" s="283">
        <f t="shared" si="1"/>
        <v>1.3157534292505544E-4</v>
      </c>
      <c r="I18" s="194"/>
      <c r="J18" s="284">
        <f>AVERAGE(D72:INDEX(D72:H72,0,MATCH(Data!$B$3,$D$7:$H$7,0)))/AVERAGE($D$90:INDEX($D$90:$H$90,0,MATCH(Data!$B$3,$D$7:$H$7,0)))</f>
        <v>1.5881456871559549E-4</v>
      </c>
      <c r="K18" s="285">
        <f t="shared" si="2"/>
        <v>1.8388880043781333E-4</v>
      </c>
      <c r="M18" s="198"/>
    </row>
    <row r="19" spans="2:13">
      <c r="B19" s="369" t="str">
        <f>GD!B19</f>
        <v>Collaborative streetworks ODI [Cadent Lon &amp; EoE, SGN So only]</v>
      </c>
      <c r="C19" s="370" t="s">
        <v>163</v>
      </c>
      <c r="D19" s="282">
        <f t="shared" ref="D19:H19" si="3">D73/D$90</f>
        <v>0</v>
      </c>
      <c r="E19" s="283">
        <f t="shared" si="3"/>
        <v>0</v>
      </c>
      <c r="F19" s="283">
        <f t="shared" si="3"/>
        <v>0</v>
      </c>
      <c r="G19" s="283">
        <f t="shared" si="3"/>
        <v>0</v>
      </c>
      <c r="H19" s="283">
        <f t="shared" si="3"/>
        <v>0</v>
      </c>
      <c r="I19" s="194"/>
      <c r="J19" s="284">
        <f>AVERAGE(D73:INDEX(D73:H73,0,MATCH(Data!$B$3,$D$7:$H$7,0)))/AVERAGE($D$90:INDEX($D$90:$H$90,0,MATCH(Data!$B$3,$D$7:$H$7,0)))</f>
        <v>0</v>
      </c>
      <c r="K19" s="285">
        <f t="shared" ref="K19:K22" si="4">AVERAGE(D73:H73)/AVERAGE($D$90:$H$90)</f>
        <v>0</v>
      </c>
      <c r="M19" s="198"/>
    </row>
    <row r="20" spans="2:13">
      <c r="B20" s="369" t="str">
        <f>GD!B20</f>
        <v>Network innovation input for RORE</v>
      </c>
      <c r="C20" s="370" t="s">
        <v>163</v>
      </c>
      <c r="D20" s="282">
        <f t="shared" ref="D20:H20" si="5">D74/D$90</f>
        <v>-1.5660237210516221E-4</v>
      </c>
      <c r="E20" s="283">
        <f t="shared" si="5"/>
        <v>-2.0928210078595793E-4</v>
      </c>
      <c r="F20" s="283">
        <f t="shared" si="5"/>
        <v>-2.8335051225329211E-4</v>
      </c>
      <c r="G20" s="283">
        <f t="shared" si="5"/>
        <v>-3.3588088233331708E-4</v>
      </c>
      <c r="H20" s="283">
        <f t="shared" si="5"/>
        <v>-2.767941350999768E-4</v>
      </c>
      <c r="I20" s="194"/>
      <c r="J20" s="284">
        <f>AVERAGE(D74:INDEX(D74:H74,0,MATCH(Data!$B$3,$D$7:$H$7,0)))/AVERAGE($D$90:INDEX($D$90:$H$90,0,MATCH(Data!$B$3,$D$7:$H$7,0)))</f>
        <v>-2.1695371769777581E-4</v>
      </c>
      <c r="K20" s="285">
        <f t="shared" si="4"/>
        <v>-2.5328404220149083E-4</v>
      </c>
      <c r="M20" s="198"/>
    </row>
    <row r="21" spans="2:13">
      <c r="B21" s="369" t="str">
        <f>GD!B21</f>
        <v>Carry-over Network innovation input for RORE</v>
      </c>
      <c r="C21" s="370" t="s">
        <v>163</v>
      </c>
      <c r="D21" s="282">
        <f t="shared" ref="D21:H21" si="6">D75/D$90</f>
        <v>-1.548889338211389E-4</v>
      </c>
      <c r="E21" s="283">
        <f t="shared" si="6"/>
        <v>0</v>
      </c>
      <c r="F21" s="283">
        <f t="shared" si="6"/>
        <v>0</v>
      </c>
      <c r="G21" s="283">
        <f t="shared" si="6"/>
        <v>0</v>
      </c>
      <c r="H21" s="283">
        <f t="shared" si="6"/>
        <v>0</v>
      </c>
      <c r="I21" s="194"/>
      <c r="J21" s="284">
        <f>AVERAGE(D75:INDEX(D75:H75,0,MATCH(Data!$B$3,$D$7:$H$7,0)))/AVERAGE($D$90:INDEX($D$90:$H$90,0,MATCH(Data!$B$3,$D$7:$H$7,0)))</f>
        <v>-5.0936473793359934E-5</v>
      </c>
      <c r="K21" s="285">
        <f t="shared" si="4"/>
        <v>-3.0190897147773362E-5</v>
      </c>
      <c r="M21" s="198"/>
    </row>
    <row r="22" spans="2:13">
      <c r="B22" s="369" t="str">
        <f>GD!B22</f>
        <v>Strategic innovation input for RORE</v>
      </c>
      <c r="C22" s="370" t="s">
        <v>163</v>
      </c>
      <c r="D22" s="282">
        <f t="shared" ref="D22:H24" si="7">D76/D$90</f>
        <v>0</v>
      </c>
      <c r="E22" s="283">
        <f t="shared" si="7"/>
        <v>0</v>
      </c>
      <c r="F22" s="283">
        <f t="shared" si="7"/>
        <v>0</v>
      </c>
      <c r="G22" s="283">
        <f t="shared" si="7"/>
        <v>0</v>
      </c>
      <c r="H22" s="283">
        <f t="shared" si="7"/>
        <v>0</v>
      </c>
      <c r="I22" s="194"/>
      <c r="J22" s="284">
        <f>AVERAGE(D76:INDEX(D76:H76,0,MATCH(Data!$B$3,$D$7:$H$7,0)))/AVERAGE($D$90:INDEX($D$90:$H$90,0,MATCH(Data!$B$3,$D$7:$H$7,0)))</f>
        <v>0</v>
      </c>
      <c r="K22" s="285">
        <f t="shared" si="4"/>
        <v>0</v>
      </c>
      <c r="M22" s="198"/>
    </row>
    <row r="23" spans="2:13">
      <c r="B23" s="369" t="str">
        <f>GD!B23</f>
        <v>H100 shareholder contribution</v>
      </c>
      <c r="C23" s="370" t="s">
        <v>163</v>
      </c>
      <c r="D23" s="282">
        <f t="shared" si="7"/>
        <v>0</v>
      </c>
      <c r="E23" s="283">
        <f t="shared" si="7"/>
        <v>0</v>
      </c>
      <c r="F23" s="283">
        <f t="shared" si="7"/>
        <v>0</v>
      </c>
      <c r="G23" s="283">
        <f t="shared" si="7"/>
        <v>0</v>
      </c>
      <c r="H23" s="283">
        <f t="shared" si="7"/>
        <v>0</v>
      </c>
      <c r="I23" s="194"/>
      <c r="J23" s="284">
        <f>AVERAGE(D77:INDEX(D77:H77,0,MATCH(Data!$B$3,$D$7:$H$7,0)))/AVERAGE($D$90:INDEX($D$90:$H$90,0,MATCH(Data!$B$3,$D$7:$H$7,0)))</f>
        <v>0</v>
      </c>
      <c r="K23" s="285">
        <f t="shared" ref="K23:K24" si="8">AVERAGE(D77:H77)/AVERAGE($D$90:$H$90)</f>
        <v>0</v>
      </c>
      <c r="M23" s="198"/>
    </row>
    <row r="24" spans="2:13">
      <c r="B24" s="369" t="str">
        <f>GD!B24</f>
        <v>LTS shareholder contribution</v>
      </c>
      <c r="C24" s="370" t="s">
        <v>163</v>
      </c>
      <c r="D24" s="282">
        <f t="shared" si="7"/>
        <v>0</v>
      </c>
      <c r="E24" s="283">
        <f t="shared" si="7"/>
        <v>0</v>
      </c>
      <c r="F24" s="283">
        <f t="shared" si="7"/>
        <v>0</v>
      </c>
      <c r="G24" s="283">
        <f t="shared" si="7"/>
        <v>0</v>
      </c>
      <c r="H24" s="283">
        <f t="shared" si="7"/>
        <v>0</v>
      </c>
      <c r="I24" s="194"/>
      <c r="J24" s="284">
        <f>AVERAGE(D78:INDEX(D78:H78,0,MATCH(Data!$B$3,$D$7:$H$7,0)))/AVERAGE($D$90:INDEX($D$90:$H$90,0,MATCH(Data!$B$3,$D$7:$H$7,0)))</f>
        <v>0</v>
      </c>
      <c r="K24" s="285">
        <f t="shared" si="8"/>
        <v>0</v>
      </c>
      <c r="M24" s="198"/>
    </row>
    <row r="25" spans="2:13">
      <c r="B25" s="369" t="str">
        <f>GD!B25</f>
        <v/>
      </c>
      <c r="C25" s="370" t="s">
        <v>163</v>
      </c>
      <c r="D25" s="282"/>
      <c r="E25" s="283"/>
      <c r="F25" s="283"/>
      <c r="G25" s="283"/>
      <c r="H25" s="283"/>
      <c r="I25" s="194"/>
      <c r="J25" s="284"/>
      <c r="K25" s="285"/>
      <c r="M25" s="198"/>
    </row>
    <row r="26" spans="2:13">
      <c r="B26" s="369" t="str">
        <f>GD!B26</f>
        <v/>
      </c>
      <c r="C26" s="370" t="s">
        <v>163</v>
      </c>
      <c r="D26" s="282"/>
      <c r="E26" s="283"/>
      <c r="F26" s="283"/>
      <c r="G26" s="283"/>
      <c r="H26" s="283"/>
      <c r="I26" s="194"/>
      <c r="J26" s="284"/>
      <c r="K26" s="285"/>
      <c r="M26" s="198"/>
    </row>
    <row r="27" spans="2:13">
      <c r="B27" s="369" t="str">
        <f>GD!B27</f>
        <v/>
      </c>
      <c r="C27" s="370" t="s">
        <v>163</v>
      </c>
      <c r="D27" s="282">
        <f t="shared" ref="D27:H27" si="9">D73/D$90</f>
        <v>0</v>
      </c>
      <c r="E27" s="283">
        <f t="shared" si="9"/>
        <v>0</v>
      </c>
      <c r="F27" s="283">
        <f t="shared" si="9"/>
        <v>0</v>
      </c>
      <c r="G27" s="283">
        <f t="shared" si="9"/>
        <v>0</v>
      </c>
      <c r="H27" s="283">
        <f t="shared" si="9"/>
        <v>0</v>
      </c>
      <c r="I27" s="194"/>
      <c r="J27" s="284">
        <f>AVERAGE(D73:INDEX(D73:H73,0,MATCH(Data!$B$3,$D$7:$H$7,0)))/AVERAGE($D$90:INDEX($D$90:$H$90,0,MATCH(Data!$B$3,$D$7:$H$7,0)))</f>
        <v>0</v>
      </c>
      <c r="K27" s="285">
        <f>AVERAGE(D73:H73)/AVERAGE($D$90:$H$90)</f>
        <v>0</v>
      </c>
      <c r="M27" s="198"/>
    </row>
    <row r="28" spans="2:13">
      <c r="B28" s="369" t="str">
        <f>GD!B28</f>
        <v>Penalties and fines (Other Activities)</v>
      </c>
      <c r="C28" s="370" t="s">
        <v>163</v>
      </c>
      <c r="D28" s="282">
        <f t="shared" ref="D28:H28" si="10">D82/D$90</f>
        <v>-6.7086942907465454E-4</v>
      </c>
      <c r="E28" s="283">
        <f t="shared" si="10"/>
        <v>-3.9385135966798622E-4</v>
      </c>
      <c r="F28" s="283">
        <f t="shared" si="10"/>
        <v>-3.1227445686906333E-4</v>
      </c>
      <c r="G28" s="283">
        <f t="shared" si="10"/>
        <v>-4.0074923604944946E-4</v>
      </c>
      <c r="H28" s="283">
        <f t="shared" si="10"/>
        <v>-3.8975011569673996E-4</v>
      </c>
      <c r="I28" s="194"/>
      <c r="J28" s="284">
        <f>AVERAGE(D82:INDEX(D82:H82,0,MATCH(Data!$B$3,$D$7:$H$7,0)))/AVERAGE($D$90:INDEX($D$90:$H$90,0,MATCH(Data!$B$3,$D$7:$H$7,0)))</f>
        <v>-4.5742133278190973E-4</v>
      </c>
      <c r="K28" s="285">
        <f>AVERAGE(D82:H82)/AVERAGE($D$90:$H$90)</f>
        <v>-4.3208604020995454E-4</v>
      </c>
      <c r="M28" s="198"/>
    </row>
    <row r="29" spans="2:13">
      <c r="B29" s="372" t="str">
        <f>GD!B29</f>
        <v>RoRE - Operational performance</v>
      </c>
      <c r="C29" s="370" t="s">
        <v>163</v>
      </c>
      <c r="D29" s="324">
        <f t="shared" ref="D29:H29" si="11">SUM(D11:D28)</f>
        <v>6.9512464462289078E-2</v>
      </c>
      <c r="E29" s="373">
        <f t="shared" si="11"/>
        <v>6.8260915566076719E-2</v>
      </c>
      <c r="F29" s="373">
        <f t="shared" si="11"/>
        <v>5.7693549280166123E-2</v>
      </c>
      <c r="G29" s="373">
        <f t="shared" si="11"/>
        <v>4.8198823937939214E-2</v>
      </c>
      <c r="H29" s="373">
        <f t="shared" si="11"/>
        <v>5.3339855199460585E-2</v>
      </c>
      <c r="I29" s="287"/>
      <c r="J29" s="151">
        <f>SUM(J11:J28)</f>
        <v>6.5106342199815287E-2</v>
      </c>
      <c r="K29" s="323">
        <f>SUM(K11:K28)</f>
        <v>5.9273576345533312E-2</v>
      </c>
      <c r="M29" s="198"/>
    </row>
    <row r="30" spans="2:13">
      <c r="B30" s="369" t="str">
        <f>GD!B30</f>
        <v>Debt performance - at notional gearing</v>
      </c>
      <c r="C30" s="370" t="s">
        <v>163</v>
      </c>
      <c r="D30" s="282">
        <f>(D84)/D$90</f>
        <v>4.9995873338014564E-2</v>
      </c>
      <c r="E30" s="283">
        <f>(E84)/E$90</f>
        <v>9.1374826391976235E-2</v>
      </c>
      <c r="F30" s="283">
        <f t="shared" ref="F30:H30" si="12">(F84)/F$90</f>
        <v>6.0863325729129544E-2</v>
      </c>
      <c r="G30" s="283">
        <f t="shared" si="12"/>
        <v>2.2170324579822858E-2</v>
      </c>
      <c r="H30" s="283">
        <f t="shared" si="12"/>
        <v>5.8692670713249608E-3</v>
      </c>
      <c r="I30" s="194"/>
      <c r="J30" s="284">
        <f>AVERAGE(D84:INDEX(D84:H84,0,MATCH(Data!$B$3,$D$7:$H$7,0)))/AVERAGE($D$90:INDEX($D$90:$H$90,0,MATCH(Data!$B$3,$D$7:$H$7,0)))</f>
        <v>6.7470348004729619E-2</v>
      </c>
      <c r="K30" s="284">
        <f>AVERAGE(D84:H84)/AVERAGE($D$90:$H$90)</f>
        <v>4.568035761885246E-2</v>
      </c>
      <c r="M30" s="198"/>
    </row>
    <row r="31" spans="2:13">
      <c r="B31" s="369" t="str">
        <f>GD!B31</f>
        <v>Tax performance - at notional gearing</v>
      </c>
      <c r="C31" s="370" t="s">
        <v>163</v>
      </c>
      <c r="D31" s="282">
        <f>(D86)/D$90</f>
        <v>4.5577608845086739E-3</v>
      </c>
      <c r="E31" s="283">
        <f t="shared" ref="E31:H31" si="13">(E86)/E$90</f>
        <v>-2.8268801963967092E-3</v>
      </c>
      <c r="F31" s="283">
        <f t="shared" si="13"/>
        <v>1.700752406525256E-4</v>
      </c>
      <c r="G31" s="283">
        <f t="shared" si="13"/>
        <v>-1.2216557891224532E-4</v>
      </c>
      <c r="H31" s="283">
        <f t="shared" si="13"/>
        <v>-6.0027491260900337E-4</v>
      </c>
      <c r="I31" s="194"/>
      <c r="J31" s="284">
        <f>AVERAGE(D86:INDEX(D86:H86,0,MATCH(Data!$B$3,$D$7:$H$7,0)))/AVERAGE($D$90:INDEX($D$90:$H$90,0,MATCH(Data!$B$3,$D$7:$H$7,0)))</f>
        <v>6.1299715815102309E-4</v>
      </c>
      <c r="K31" s="285">
        <f>AVERAGE(D86:H86)/AVERAGE($D$90:$H$90)</f>
        <v>2.1561422116063929E-4</v>
      </c>
      <c r="M31" s="198"/>
    </row>
    <row r="32" spans="2:13">
      <c r="B32" s="372" t="str">
        <f>GD!B32</f>
        <v>RoRE - including financing and tax</v>
      </c>
      <c r="C32" s="370" t="s">
        <v>163</v>
      </c>
      <c r="D32" s="151">
        <f>SUM(D29:D31)</f>
        <v>0.12406609868481232</v>
      </c>
      <c r="E32" s="325">
        <f t="shared" ref="E32:H32" si="14">SUM(E29:E31)</f>
        <v>0.15680886176165626</v>
      </c>
      <c r="F32" s="325">
        <f t="shared" si="14"/>
        <v>0.1187269502499482</v>
      </c>
      <c r="G32" s="325">
        <f t="shared" si="14"/>
        <v>7.0246982938849831E-2</v>
      </c>
      <c r="H32" s="325">
        <f t="shared" si="14"/>
        <v>5.860884735817655E-2</v>
      </c>
      <c r="I32" s="287"/>
      <c r="J32" s="151">
        <f>SUM(J29:J31)</f>
        <v>0.13318968736269593</v>
      </c>
      <c r="K32" s="323">
        <f>SUM(K29:K31)</f>
        <v>0.1051695481855464</v>
      </c>
      <c r="M32" s="198"/>
    </row>
    <row r="36" spans="2:13">
      <c r="B36" s="366" t="s">
        <v>57</v>
      </c>
      <c r="C36" s="367"/>
      <c r="D36" s="367"/>
      <c r="E36" s="367"/>
      <c r="F36" s="367"/>
      <c r="G36" s="367"/>
      <c r="H36" s="367"/>
      <c r="I36" s="368"/>
      <c r="J36" s="367"/>
      <c r="K36" s="367"/>
      <c r="L36" s="367"/>
    </row>
    <row r="37" spans="2:13">
      <c r="B37" s="147"/>
      <c r="I37" s="345"/>
    </row>
    <row r="38" spans="2:13">
      <c r="B38" s="369" t="str">
        <f>GD!B38</f>
        <v>Allowed Equity Return</v>
      </c>
      <c r="C38" s="370" t="s">
        <v>163</v>
      </c>
      <c r="D38" s="282">
        <f t="shared" ref="D38:H46" si="15">D65/D$91</f>
        <v>5.0182980558986429E-2</v>
      </c>
      <c r="E38" s="283">
        <f t="shared" si="15"/>
        <v>4.869416883138019E-2</v>
      </c>
      <c r="F38" s="283">
        <f t="shared" si="15"/>
        <v>5.4622574836342572E-2</v>
      </c>
      <c r="G38" s="283">
        <f t="shared" si="15"/>
        <v>6.0121098756855056E-2</v>
      </c>
      <c r="H38" s="283">
        <f t="shared" si="15"/>
        <v>6.2884100897800985E-2</v>
      </c>
      <c r="I38" s="194"/>
      <c r="J38" s="284">
        <f>AVERAGE(D65:INDEX(D65:H65,0,MATCH(Data!$B$3,$D$7:$H$7,0)))/AVERAGE($D$91:INDEX($D$91:$H$91,0,MATCH(Data!$B$3,$D$7:$H$7,0)))</f>
        <v>5.1235961742422273E-2</v>
      </c>
      <c r="K38" s="285">
        <f t="shared" ref="K38:K46" si="16">AVERAGE(D65:H65)/AVERAGE($D$91:$H$91)</f>
        <v>5.5320205962793779E-2</v>
      </c>
      <c r="M38" s="389"/>
    </row>
    <row r="39" spans="2:13">
      <c r="B39" s="369" t="str">
        <f>GD!B39</f>
        <v>Totex outperformance</v>
      </c>
      <c r="C39" s="370" t="s">
        <v>163</v>
      </c>
      <c r="D39" s="282">
        <f t="shared" si="15"/>
        <v>2.538289658999934E-2</v>
      </c>
      <c r="E39" s="283">
        <f t="shared" si="15"/>
        <v>2.114874395472981E-2</v>
      </c>
      <c r="F39" s="283">
        <f t="shared" si="15"/>
        <v>2.0933017103822961E-3</v>
      </c>
      <c r="G39" s="283">
        <f t="shared" si="15"/>
        <v>-1.0978299510427036E-2</v>
      </c>
      <c r="H39" s="283">
        <f t="shared" si="15"/>
        <v>-4.8063377187860072E-3</v>
      </c>
      <c r="I39" s="194"/>
      <c r="J39" s="284">
        <f>AVERAGE(D66:INDEX(D66:H66,0,MATCH(Data!$B$3,$D$7:$H$7,0)))/AVERAGE($D$91:INDEX($D$91:$H$91,0,MATCH(Data!$B$3,$D$7:$H$7,0)))</f>
        <v>1.583572325868499E-2</v>
      </c>
      <c r="K39" s="285">
        <f t="shared" si="16"/>
        <v>6.3396808936166229E-3</v>
      </c>
      <c r="M39" s="389"/>
    </row>
    <row r="40" spans="2:13">
      <c r="B40" s="369" t="str">
        <f>GD!B40</f>
        <v>Business Plan Incentive</v>
      </c>
      <c r="C40" s="370" t="s">
        <v>163</v>
      </c>
      <c r="D40" s="282">
        <f t="shared" si="15"/>
        <v>1.4420117545792829E-3</v>
      </c>
      <c r="E40" s="283">
        <f t="shared" si="15"/>
        <v>1.3673501450408789E-3</v>
      </c>
      <c r="F40" s="283">
        <f t="shared" si="15"/>
        <v>1.3080091663552015E-3</v>
      </c>
      <c r="G40" s="283">
        <f t="shared" si="15"/>
        <v>1.3454203946858603E-3</v>
      </c>
      <c r="H40" s="283">
        <f t="shared" si="15"/>
        <v>1.4076373016184919E-3</v>
      </c>
      <c r="I40" s="194"/>
      <c r="J40" s="284">
        <f>AVERAGE(D67:INDEX(D67:H67,0,MATCH(Data!$B$3,$D$7:$H$7,0)))/AVERAGE($D$91:INDEX($D$91:$H$91,0,MATCH(Data!$B$3,$D$7:$H$7,0)))</f>
        <v>1.3702773330410661E-3</v>
      </c>
      <c r="K40" s="285">
        <f t="shared" si="16"/>
        <v>1.3724913496356095E-3</v>
      </c>
      <c r="M40" s="389"/>
    </row>
    <row r="41" spans="2:13">
      <c r="B41" s="369" t="str">
        <f>GD!B41</f>
        <v>Customer Satisfaction Survey ODI</v>
      </c>
      <c r="C41" s="370" t="s">
        <v>163</v>
      </c>
      <c r="D41" s="282">
        <f t="shared" si="15"/>
        <v>1.711680133050211E-3</v>
      </c>
      <c r="E41" s="283">
        <f t="shared" si="15"/>
        <v>1.9480462720760762E-3</v>
      </c>
      <c r="F41" s="283">
        <f t="shared" si="15"/>
        <v>1.7807517056940198E-3</v>
      </c>
      <c r="G41" s="283">
        <f t="shared" si="15"/>
        <v>1.8316841535510693E-3</v>
      </c>
      <c r="H41" s="283">
        <f t="shared" si="15"/>
        <v>1.9163875837663305E-3</v>
      </c>
      <c r="I41" s="194"/>
      <c r="J41" s="284">
        <f>AVERAGE(D68:INDEX(D68:H68,0,MATCH(Data!$B$3,$D$7:$H$7,0)))/AVERAGE($D$91:INDEX($D$91:$H$91,0,MATCH(Data!$B$3,$D$7:$H$7,0)))</f>
        <v>1.814757430064953E-3</v>
      </c>
      <c r="K41" s="285">
        <f t="shared" si="16"/>
        <v>1.83802942013974E-3</v>
      </c>
      <c r="M41" s="389"/>
    </row>
    <row r="42" spans="2:13">
      <c r="B42" s="369" t="str">
        <f>GD!B42</f>
        <v>Complaints metric ODI</v>
      </c>
      <c r="C42" s="370" t="s">
        <v>163</v>
      </c>
      <c r="D42" s="282">
        <f t="shared" si="15"/>
        <v>0</v>
      </c>
      <c r="E42" s="283">
        <f t="shared" si="15"/>
        <v>0</v>
      </c>
      <c r="F42" s="283">
        <f t="shared" si="15"/>
        <v>0</v>
      </c>
      <c r="G42" s="283">
        <f t="shared" si="15"/>
        <v>0</v>
      </c>
      <c r="H42" s="283">
        <f t="shared" si="15"/>
        <v>0</v>
      </c>
      <c r="I42" s="194"/>
      <c r="J42" s="284">
        <f>AVERAGE(D69:INDEX(D69:H69,0,MATCH(Data!$B$3,$D$7:$H$7,0)))/AVERAGE($D$91:INDEX($D$91:$H$91,0,MATCH(Data!$B$3,$D$7:$H$7,0)))</f>
        <v>0</v>
      </c>
      <c r="K42" s="285">
        <f t="shared" si="16"/>
        <v>0</v>
      </c>
      <c r="M42" s="389"/>
    </row>
    <row r="43" spans="2:13">
      <c r="B43" s="369" t="str">
        <f>GD!B43</f>
        <v>Unplanned Interruption Mean Duration ODI [NGN, SGN and WWU]</v>
      </c>
      <c r="C43" s="370" t="s">
        <v>163</v>
      </c>
      <c r="D43" s="282">
        <f t="shared" si="15"/>
        <v>0</v>
      </c>
      <c r="E43" s="283">
        <f t="shared" si="15"/>
        <v>0</v>
      </c>
      <c r="F43" s="283">
        <f t="shared" si="15"/>
        <v>0</v>
      </c>
      <c r="G43" s="283">
        <f t="shared" si="15"/>
        <v>0</v>
      </c>
      <c r="H43" s="283">
        <f t="shared" si="15"/>
        <v>0</v>
      </c>
      <c r="I43" s="194"/>
      <c r="J43" s="284">
        <f>AVERAGE(D70:INDEX(D70:H70,0,MATCH(Data!$B$3,$D$7:$H$7,0)))/AVERAGE($D$91:INDEX($D$91:$H$91,0,MATCH(Data!$B$3,$D$7:$H$7,0)))</f>
        <v>0</v>
      </c>
      <c r="K43" s="285">
        <f t="shared" si="16"/>
        <v>0</v>
      </c>
      <c r="M43" s="389"/>
    </row>
    <row r="44" spans="2:13">
      <c r="B44" s="369" t="str">
        <f>GD!B44</f>
        <v>Unplanned Interruption Mean Duration ODI [Cadent only]</v>
      </c>
      <c r="C44" s="370" t="s">
        <v>163</v>
      </c>
      <c r="D44" s="282">
        <f t="shared" si="15"/>
        <v>0</v>
      </c>
      <c r="E44" s="283">
        <f t="shared" si="15"/>
        <v>0</v>
      </c>
      <c r="F44" s="283">
        <f t="shared" si="15"/>
        <v>0</v>
      </c>
      <c r="G44" s="283">
        <f t="shared" si="15"/>
        <v>0</v>
      </c>
      <c r="H44" s="283">
        <f t="shared" si="15"/>
        <v>0</v>
      </c>
      <c r="I44" s="194"/>
      <c r="J44" s="284">
        <f>AVERAGE(D71:INDEX(D71:H71,0,MATCH(Data!$B$3,$D$7:$H$7,0)))/AVERAGE($D$91:INDEX($D$91:$H$91,0,MATCH(Data!$B$3,$D$7:$H$7,0)))</f>
        <v>0</v>
      </c>
      <c r="K44" s="285">
        <f t="shared" si="16"/>
        <v>0</v>
      </c>
      <c r="M44" s="389"/>
    </row>
    <row r="45" spans="2:13">
      <c r="B45" s="369" t="str">
        <f>GD!B45</f>
        <v>Shrinkage Management ODI</v>
      </c>
      <c r="C45" s="370" t="s">
        <v>163</v>
      </c>
      <c r="D45" s="282">
        <f t="shared" si="15"/>
        <v>-4.2180090286378168E-4</v>
      </c>
      <c r="E45" s="283">
        <f t="shared" si="15"/>
        <v>4.2995236065257355E-4</v>
      </c>
      <c r="F45" s="283">
        <f t="shared" si="15"/>
        <v>4.5784805042299728E-4</v>
      </c>
      <c r="G45" s="283">
        <f t="shared" si="15"/>
        <v>3.3386176429791751E-4</v>
      </c>
      <c r="H45" s="283">
        <f t="shared" si="15"/>
        <v>1.4995800830253572E-4</v>
      </c>
      <c r="I45" s="194"/>
      <c r="J45" s="284">
        <f>AVERAGE(D72:INDEX(D72:H72,0,MATCH(Data!$B$3,$D$7:$H$7,0)))/AVERAGE($D$91:INDEX($D$91:$H$91,0,MATCH(Data!$B$3,$D$7:$H$7,0)))</f>
        <v>1.698996235312473E-4</v>
      </c>
      <c r="K45" s="285">
        <f t="shared" si="16"/>
        <v>1.9946311965200796E-4</v>
      </c>
      <c r="M45" s="389"/>
    </row>
    <row r="46" spans="2:13">
      <c r="B46" s="369" t="str">
        <f>GD!B46</f>
        <v>Collaborative streetworks ODI [Cadent Lon &amp; EoE, SGN So only]</v>
      </c>
      <c r="C46" s="370" t="s">
        <v>163</v>
      </c>
      <c r="D46" s="282">
        <f t="shared" si="15"/>
        <v>0</v>
      </c>
      <c r="E46" s="283">
        <f t="shared" si="15"/>
        <v>0</v>
      </c>
      <c r="F46" s="283">
        <f t="shared" si="15"/>
        <v>0</v>
      </c>
      <c r="G46" s="283">
        <f t="shared" si="15"/>
        <v>0</v>
      </c>
      <c r="H46" s="283">
        <f t="shared" si="15"/>
        <v>0</v>
      </c>
      <c r="I46" s="194"/>
      <c r="J46" s="284">
        <f>AVERAGE(D73:INDEX(D73:H73,0,MATCH(Data!$B$3,$D$7:$H$7,0)))/AVERAGE($D$91:INDEX($D$91:$H$91,0,MATCH(Data!$B$3,$D$7:$H$7,0)))</f>
        <v>0</v>
      </c>
      <c r="K46" s="285">
        <f t="shared" si="16"/>
        <v>0</v>
      </c>
      <c r="M46" s="389"/>
    </row>
    <row r="47" spans="2:13">
      <c r="B47" s="369" t="str">
        <f>GD!B47</f>
        <v>Network innovation input for RORE</v>
      </c>
      <c r="C47" s="370" t="s">
        <v>163</v>
      </c>
      <c r="D47" s="282">
        <f t="shared" ref="D47:H47" si="17">D74/D$91</f>
        <v>-1.7393640151556577E-4</v>
      </c>
      <c r="E47" s="283">
        <f t="shared" si="17"/>
        <v>-2.2363927464302851E-4</v>
      </c>
      <c r="F47" s="283">
        <f t="shared" si="17"/>
        <v>-2.92943009525684E-4</v>
      </c>
      <c r="G47" s="283">
        <f t="shared" si="17"/>
        <v>-3.6140245503313761E-4</v>
      </c>
      <c r="H47" s="283">
        <f t="shared" si="17"/>
        <v>-3.1546562058407817E-4</v>
      </c>
      <c r="I47" s="194"/>
      <c r="J47" s="284">
        <f>AVERAGE(D74:INDEX(D74:H74,0,MATCH(Data!$B$3,$D$7:$H$7,0)))/AVERAGE($D$91:INDEX($D$91:$H$91,0,MATCH(Data!$B$3,$D$7:$H$7,0)))</f>
        <v>-2.3209681113428579E-4</v>
      </c>
      <c r="K47" s="285">
        <f t="shared" ref="K47:K49" si="18">AVERAGE(D74:H74)/AVERAGE($D$91:$H$91)</f>
        <v>-2.7473573755061338E-4</v>
      </c>
      <c r="M47" s="389"/>
    </row>
    <row r="48" spans="2:13">
      <c r="B48" s="369" t="str">
        <f>GD!B48</f>
        <v>Carry-over Network innovation input for RORE</v>
      </c>
      <c r="C48" s="370" t="s">
        <v>163</v>
      </c>
      <c r="D48" s="282">
        <f t="shared" ref="D48:H48" si="19">D75/D$91</f>
        <v>-1.7203330588977354E-4</v>
      </c>
      <c r="E48" s="283">
        <f t="shared" si="19"/>
        <v>0</v>
      </c>
      <c r="F48" s="283">
        <f t="shared" si="19"/>
        <v>0</v>
      </c>
      <c r="G48" s="283">
        <f t="shared" si="19"/>
        <v>0</v>
      </c>
      <c r="H48" s="283">
        <f t="shared" si="19"/>
        <v>0</v>
      </c>
      <c r="I48" s="194"/>
      <c r="J48" s="284">
        <f>AVERAGE(D75:INDEX(D75:H75,0,MATCH(Data!$B$3,$D$7:$H$7,0)))/AVERAGE($D$91:INDEX($D$91:$H$91,0,MATCH(Data!$B$3,$D$7:$H$7,0)))</f>
        <v>-5.4491774850950882E-5</v>
      </c>
      <c r="K48" s="285">
        <f t="shared" si="18"/>
        <v>-3.2747891746807422E-5</v>
      </c>
      <c r="M48" s="389"/>
    </row>
    <row r="49" spans="2:13">
      <c r="B49" s="369" t="str">
        <f>GD!B49</f>
        <v>Strategic innovation input for RORE</v>
      </c>
      <c r="C49" s="370" t="s">
        <v>163</v>
      </c>
      <c r="D49" s="282">
        <f t="shared" ref="D49:H51" si="20">D76/D$91</f>
        <v>0</v>
      </c>
      <c r="E49" s="283">
        <f t="shared" si="20"/>
        <v>0</v>
      </c>
      <c r="F49" s="283">
        <f t="shared" si="20"/>
        <v>0</v>
      </c>
      <c r="G49" s="283">
        <f t="shared" si="20"/>
        <v>0</v>
      </c>
      <c r="H49" s="283">
        <f t="shared" si="20"/>
        <v>0</v>
      </c>
      <c r="I49" s="194"/>
      <c r="J49" s="284">
        <f>AVERAGE(D76:INDEX(D76:H76,0,MATCH(Data!$B$3,$D$7:$H$7,0)))/AVERAGE($D$91:INDEX($D$91:$H$91,0,MATCH(Data!$B$3,$D$7:$H$7,0)))</f>
        <v>0</v>
      </c>
      <c r="K49" s="285">
        <f t="shared" si="18"/>
        <v>0</v>
      </c>
      <c r="M49" s="389"/>
    </row>
    <row r="50" spans="2:13">
      <c r="B50" s="369" t="str">
        <f>GD!B50</f>
        <v>H100 shareholder contribution</v>
      </c>
      <c r="C50" s="370" t="s">
        <v>163</v>
      </c>
      <c r="D50" s="282">
        <f t="shared" si="20"/>
        <v>0</v>
      </c>
      <c r="E50" s="283">
        <f t="shared" si="20"/>
        <v>0</v>
      </c>
      <c r="F50" s="283">
        <f t="shared" si="20"/>
        <v>0</v>
      </c>
      <c r="G50" s="283">
        <f t="shared" si="20"/>
        <v>0</v>
      </c>
      <c r="H50" s="283">
        <f t="shared" si="20"/>
        <v>0</v>
      </c>
      <c r="I50" s="194"/>
      <c r="J50" s="284">
        <f>AVERAGE(D77:INDEX(D77:H77,0,MATCH(Data!$B$3,$D$7:$H$7,0)))/AVERAGE($D$91:INDEX($D$91:$H$91,0,MATCH(Data!$B$3,$D$7:$H$7,0)))</f>
        <v>0</v>
      </c>
      <c r="K50" s="285">
        <f t="shared" ref="K50:K51" si="21">AVERAGE(D77:H77)/AVERAGE($D$91:$H$91)</f>
        <v>0</v>
      </c>
      <c r="M50" s="389"/>
    </row>
    <row r="51" spans="2:13">
      <c r="B51" s="369" t="str">
        <f>GD!B51</f>
        <v>LTS shareholder contribution</v>
      </c>
      <c r="C51" s="370" t="s">
        <v>163</v>
      </c>
      <c r="D51" s="282">
        <f t="shared" si="20"/>
        <v>0</v>
      </c>
      <c r="E51" s="283">
        <f t="shared" si="20"/>
        <v>0</v>
      </c>
      <c r="F51" s="283">
        <f t="shared" si="20"/>
        <v>0</v>
      </c>
      <c r="G51" s="283">
        <f t="shared" si="20"/>
        <v>0</v>
      </c>
      <c r="H51" s="283">
        <f t="shared" si="20"/>
        <v>0</v>
      </c>
      <c r="I51" s="194"/>
      <c r="J51" s="284">
        <f>AVERAGE(D78:INDEX(D78:H78,0,MATCH(Data!$B$3,$D$7:$H$7,0)))/AVERAGE($D$91:INDEX($D$91:$H$91,0,MATCH(Data!$B$3,$D$7:$H$7,0)))</f>
        <v>0</v>
      </c>
      <c r="K51" s="285">
        <f t="shared" si="21"/>
        <v>0</v>
      </c>
      <c r="M51" s="389"/>
    </row>
    <row r="52" spans="2:13">
      <c r="B52" s="369" t="str">
        <f>GD!B52</f>
        <v/>
      </c>
      <c r="C52" s="370" t="s">
        <v>163</v>
      </c>
      <c r="D52" s="282"/>
      <c r="E52" s="283"/>
      <c r="F52" s="283"/>
      <c r="G52" s="283"/>
      <c r="H52" s="283"/>
      <c r="I52" s="194"/>
      <c r="J52" s="284"/>
      <c r="K52" s="285"/>
      <c r="M52" s="389"/>
    </row>
    <row r="53" spans="2:13">
      <c r="B53" s="369" t="str">
        <f>GD!B53</f>
        <v/>
      </c>
      <c r="C53" s="370" t="s">
        <v>163</v>
      </c>
      <c r="D53" s="282"/>
      <c r="E53" s="283"/>
      <c r="F53" s="283"/>
      <c r="G53" s="283"/>
      <c r="H53" s="283"/>
      <c r="I53" s="194"/>
      <c r="J53" s="284"/>
      <c r="K53" s="285"/>
      <c r="M53" s="389"/>
    </row>
    <row r="54" spans="2:13">
      <c r="B54" s="369" t="str">
        <f>GD!B54</f>
        <v/>
      </c>
      <c r="C54" s="370" t="s">
        <v>163</v>
      </c>
      <c r="D54" s="282"/>
      <c r="E54" s="283"/>
      <c r="F54" s="283"/>
      <c r="G54" s="283"/>
      <c r="H54" s="283"/>
      <c r="I54" s="194"/>
      <c r="J54" s="284"/>
      <c r="K54" s="285"/>
      <c r="M54" s="389"/>
    </row>
    <row r="55" spans="2:13">
      <c r="B55" s="369" t="str">
        <f>GD!B55</f>
        <v>Penalties and fines (Other Activities)</v>
      </c>
      <c r="C55" s="370" t="s">
        <v>163</v>
      </c>
      <c r="D55" s="282">
        <f t="shared" ref="D55:H55" si="22">D82/D$91</f>
        <v>-7.4512673602216133E-4</v>
      </c>
      <c r="E55" s="283">
        <f t="shared" si="22"/>
        <v>-4.2087035662645103E-4</v>
      </c>
      <c r="F55" s="283">
        <f t="shared" si="22"/>
        <v>-3.2284614015960355E-4</v>
      </c>
      <c r="G55" s="283">
        <f t="shared" si="22"/>
        <v>-4.3119976568716748E-4</v>
      </c>
      <c r="H55" s="283">
        <f t="shared" si="22"/>
        <v>-4.4420291664264611E-4</v>
      </c>
      <c r="I55" s="194"/>
      <c r="J55" s="284">
        <f>AVERAGE(D82:INDEX(D82:H82,0,MATCH(Data!$B$3,$D$7:$H$7,0)))/AVERAGE($D$91:INDEX($D$91:$H$91,0,MATCH(Data!$B$3,$D$7:$H$7,0)))</f>
        <v>-4.893487597726683E-4</v>
      </c>
      <c r="K55" s="285">
        <f>AVERAGE(D82:H82)/AVERAGE($D$91:$H$91)</f>
        <v>-4.6868123199001567E-4</v>
      </c>
      <c r="M55" s="389"/>
    </row>
    <row r="56" spans="2:13">
      <c r="B56" s="372" t="str">
        <f>GD!B56</f>
        <v>RoRE - Operational performance</v>
      </c>
      <c r="C56" s="370" t="s">
        <v>163</v>
      </c>
      <c r="D56" s="324">
        <f t="shared" ref="D56:H56" si="23">SUM(D38:D55)</f>
        <v>7.7206671690323983E-2</v>
      </c>
      <c r="E56" s="373">
        <f>SUM(E38:E55)</f>
        <v>7.294375193261006E-2</v>
      </c>
      <c r="F56" s="373">
        <f t="shared" si="23"/>
        <v>5.9646696319511798E-2</v>
      </c>
      <c r="G56" s="373">
        <f t="shared" si="23"/>
        <v>5.1861163338242554E-2</v>
      </c>
      <c r="H56" s="373">
        <f t="shared" si="23"/>
        <v>6.0792077535475608E-2</v>
      </c>
      <c r="I56" s="287"/>
      <c r="J56" s="151">
        <f>SUM(J38:J55)</f>
        <v>6.9650682041986628E-2</v>
      </c>
      <c r="K56" s="323">
        <f>SUM(K38:K55)</f>
        <v>6.4293705884550328E-2</v>
      </c>
      <c r="M56" s="389"/>
    </row>
    <row r="57" spans="2:13">
      <c r="B57" s="369" t="str">
        <f>GD!B57</f>
        <v>Debt performance - at actual gearing</v>
      </c>
      <c r="C57" s="370" t="s">
        <v>163</v>
      </c>
      <c r="D57" s="282">
        <f>(D84+D85)/D$91</f>
        <v>5.6883605601202009E-2</v>
      </c>
      <c r="E57" s="283">
        <f t="shared" ref="E57:H57" si="24">(E84+E85)/E$91</f>
        <v>0.10047772227443504</v>
      </c>
      <c r="F57" s="283">
        <f t="shared" si="24"/>
        <v>6.3627113559220183E-2</v>
      </c>
      <c r="G57" s="283">
        <f t="shared" si="24"/>
        <v>2.3329121672652317E-2</v>
      </c>
      <c r="H57" s="283">
        <f t="shared" si="24"/>
        <v>3.9527123193019761E-3</v>
      </c>
      <c r="I57" s="194"/>
      <c r="J57" s="284">
        <f>(AVERAGE(D84:INDEX(D84:H84,0,MATCH(Data!$B$3,$D$7:$H$7,0)))+AVERAGE(D85:INDEX(D85:H85,0,MATCH(Data!$B$3,$D$7:$H$7,0))))/AVERAGE($D$91:INDEX($D$91:$H$91,0,MATCH(Data!$B$3,$D$7:$H$7,0)))</f>
        <v>7.3800931102183651E-2</v>
      </c>
      <c r="K57" s="285">
        <f>(AVERAGE(D84:H84)+AVERAGE(D85:H85))/AVERAGE($D$91:$H$91)</f>
        <v>4.9882613369803326E-2</v>
      </c>
      <c r="M57" s="389"/>
    </row>
    <row r="58" spans="2:13">
      <c r="B58" s="369" t="str">
        <f>GD!B58</f>
        <v>Tax performance - at actual gearing</v>
      </c>
      <c r="C58" s="370" t="s">
        <v>163</v>
      </c>
      <c r="D58" s="282">
        <f>(D86+D87)/D$91</f>
        <v>4.8050327426358936E-3</v>
      </c>
      <c r="E58" s="283">
        <f t="shared" ref="E58:H58" si="25">(E86+E87)/E$91</f>
        <v>-3.559345618896433E-3</v>
      </c>
      <c r="F58" s="283">
        <f t="shared" si="25"/>
        <v>0</v>
      </c>
      <c r="G58" s="283">
        <f t="shared" si="25"/>
        <v>0</v>
      </c>
      <c r="H58" s="283">
        <f t="shared" si="25"/>
        <v>0</v>
      </c>
      <c r="I58" s="194"/>
      <c r="J58" s="284">
        <f>(AVERAGE(D86:INDEX(D86:H86,0,MATCH(Data!$B$3,$D$7:$H$7,0)))+AVERAGE(D87:INDEX(D87:H87,0,MATCH(Data!$B$3,$D$7:$H$7,0))))/AVERAGE($D$91:INDEX($D$91:$H$91,0,MATCH(Data!$B$3,$D$7:$H$7,0)))</f>
        <v>3.3301195341079549E-4</v>
      </c>
      <c r="K58" s="285">
        <f>(AVERAGE(D86:H86)+AVERAGE(D87:H87))/AVERAGE($D$91:$H$91)</f>
        <v>2.0013000917145396E-4</v>
      </c>
      <c r="M58" s="389"/>
    </row>
    <row r="59" spans="2:13">
      <c r="B59" s="372" t="str">
        <f>GD!B59</f>
        <v>RoRE - including financing and tax</v>
      </c>
      <c r="C59" s="370" t="s">
        <v>163</v>
      </c>
      <c r="D59" s="151">
        <f>SUM(D56:D58)</f>
        <v>0.13889531003416189</v>
      </c>
      <c r="E59" s="325">
        <f t="shared" ref="E59:H59" si="26">SUM(E56:E58)</f>
        <v>0.16986212858814867</v>
      </c>
      <c r="F59" s="325">
        <f t="shared" si="26"/>
        <v>0.12327380987873199</v>
      </c>
      <c r="G59" s="325">
        <f t="shared" si="26"/>
        <v>7.5190285010894864E-2</v>
      </c>
      <c r="H59" s="325">
        <f t="shared" si="26"/>
        <v>6.4744789854777579E-2</v>
      </c>
      <c r="I59" s="287"/>
      <c r="J59" s="151">
        <f>SUM(J56:J58)</f>
        <v>0.14378462509758105</v>
      </c>
      <c r="K59" s="323">
        <f>SUM(K56:K58)</f>
        <v>0.1143764492635251</v>
      </c>
      <c r="M59" s="389"/>
    </row>
    <row r="60" spans="2:13">
      <c r="B60" s="375"/>
      <c r="C60" s="376"/>
      <c r="D60" s="377"/>
      <c r="E60" s="377"/>
      <c r="F60" s="377"/>
      <c r="G60" s="377"/>
      <c r="H60" s="377"/>
      <c r="I60" s="287"/>
      <c r="J60" s="377"/>
      <c r="K60" s="377"/>
    </row>
    <row r="61" spans="2:13">
      <c r="B61" s="375"/>
      <c r="C61" s="376"/>
      <c r="D61" s="377"/>
      <c r="E61" s="377"/>
      <c r="F61" s="377"/>
      <c r="G61" s="377"/>
      <c r="H61" s="377"/>
      <c r="I61" s="287"/>
      <c r="J61" s="377"/>
      <c r="K61" s="377"/>
    </row>
    <row r="62" spans="2:13">
      <c r="B62" s="378" t="str">
        <f>GD!B62</f>
        <v>RoRE input values</v>
      </c>
      <c r="C62" s="379"/>
      <c r="D62" s="380"/>
      <c r="E62" s="380"/>
      <c r="F62" s="380"/>
      <c r="G62" s="380"/>
      <c r="H62" s="380"/>
      <c r="I62" s="381"/>
      <c r="J62" s="380"/>
      <c r="K62" s="380"/>
      <c r="L62" s="367"/>
    </row>
    <row r="63" spans="2:13">
      <c r="B63" s="382" t="str">
        <f>GD!B63</f>
        <v>Input values provided in £m 18/19 prices</v>
      </c>
      <c r="C63" s="383"/>
      <c r="D63" s="383"/>
      <c r="E63" s="383"/>
      <c r="F63" s="383"/>
      <c r="G63" s="383"/>
      <c r="H63" s="383"/>
      <c r="I63" s="383"/>
      <c r="J63" s="383"/>
      <c r="K63" s="383"/>
      <c r="L63" s="383"/>
    </row>
    <row r="65" spans="2:11">
      <c r="B65" s="308" t="str">
        <f>GD!B65</f>
        <v>Equity Return on the RAV</v>
      </c>
      <c r="C65" s="384" t="str">
        <f>GD!C65</f>
        <v>£m 18/19</v>
      </c>
      <c r="D65" s="385">
        <v>39.986182898336793</v>
      </c>
      <c r="E65" s="385">
        <v>40.918481893747945</v>
      </c>
      <c r="F65" s="385">
        <v>47.982588988495777</v>
      </c>
      <c r="G65" s="385">
        <v>51.344177233427658</v>
      </c>
      <c r="H65" s="385">
        <v>51.330132522846128</v>
      </c>
      <c r="J65" s="385">
        <v>128.88725378058052</v>
      </c>
      <c r="K65" s="385">
        <v>231.56156353685432</v>
      </c>
    </row>
    <row r="66" spans="2:11">
      <c r="B66" s="308" t="str">
        <f>GD!B66</f>
        <v>Totex outperformance</v>
      </c>
      <c r="C66" s="384" t="str">
        <f>GD!C66</f>
        <v>£m 18/19</v>
      </c>
      <c r="D66" s="385">
        <v>20.22528622715555</v>
      </c>
      <c r="E66" s="385">
        <v>17.771624762377012</v>
      </c>
      <c r="F66" s="385">
        <v>1.8388374385339459</v>
      </c>
      <c r="G66" s="385">
        <v>-9.3756063585040099</v>
      </c>
      <c r="H66" s="385">
        <v>-3.9232484607801239</v>
      </c>
      <c r="J66" s="385">
        <v>39.835748428066509</v>
      </c>
      <c r="K66" s="385">
        <v>26.536893608782378</v>
      </c>
    </row>
    <row r="67" spans="2:11">
      <c r="B67" s="308" t="str">
        <f>GD!B67</f>
        <v>Business Plan Incentive</v>
      </c>
      <c r="C67" s="384" t="str">
        <f>GD!C67</f>
        <v>£m 18/19</v>
      </c>
      <c r="D67" s="385">
        <v>1.149006</v>
      </c>
      <c r="E67" s="385">
        <v>1.149006</v>
      </c>
      <c r="F67" s="385">
        <v>1.149006</v>
      </c>
      <c r="G67" s="385">
        <v>1.149006</v>
      </c>
      <c r="H67" s="385">
        <v>1.149006</v>
      </c>
      <c r="J67" s="385">
        <v>3.4470179999999999</v>
      </c>
      <c r="K67" s="385">
        <v>5.7450299999999999</v>
      </c>
    </row>
    <row r="68" spans="2:11">
      <c r="B68" s="308" t="str">
        <f>GD!B68</f>
        <v>Customer Satisfaction Survey ODI</v>
      </c>
      <c r="C68" s="384" t="str">
        <f>GD!C68</f>
        <v>£m 18/19</v>
      </c>
      <c r="D68" s="385">
        <v>1.3638798274077164</v>
      </c>
      <c r="E68" s="385">
        <v>1.6369741598455942</v>
      </c>
      <c r="F68" s="385">
        <v>1.5642813880686735</v>
      </c>
      <c r="G68" s="385">
        <v>1.5642813880686735</v>
      </c>
      <c r="H68" s="385">
        <v>1.5642813880686735</v>
      </c>
      <c r="J68" s="385">
        <v>4.5651353753219839</v>
      </c>
      <c r="K68" s="385">
        <v>7.6936981514593308</v>
      </c>
    </row>
    <row r="69" spans="2:11">
      <c r="B69" s="308" t="str">
        <f>GD!B69</f>
        <v>Complaints metric ODI</v>
      </c>
      <c r="C69" s="384" t="str">
        <f>GD!C69</f>
        <v>£m 18/19</v>
      </c>
      <c r="D69" s="385">
        <v>0</v>
      </c>
      <c r="E69" s="385">
        <v>0</v>
      </c>
      <c r="F69" s="385">
        <v>0</v>
      </c>
      <c r="G69" s="385">
        <v>0</v>
      </c>
      <c r="H69" s="385">
        <v>0</v>
      </c>
      <c r="J69" s="385">
        <v>0</v>
      </c>
      <c r="K69" s="385">
        <v>0</v>
      </c>
    </row>
    <row r="70" spans="2:11">
      <c r="B70" s="308" t="str">
        <f>GD!B70</f>
        <v>Unplanned Interruption Mean Duration ODI [NGN, SGN and WWU]</v>
      </c>
      <c r="C70" s="384" t="str">
        <f>GD!C70</f>
        <v>£m 18/19</v>
      </c>
      <c r="D70" s="385">
        <v>0</v>
      </c>
      <c r="E70" s="385">
        <v>0</v>
      </c>
      <c r="F70" s="385">
        <v>0</v>
      </c>
      <c r="G70" s="385">
        <v>0</v>
      </c>
      <c r="H70" s="385">
        <v>0</v>
      </c>
      <c r="J70" s="385">
        <v>0</v>
      </c>
      <c r="K70" s="385">
        <v>0</v>
      </c>
    </row>
    <row r="71" spans="2:11">
      <c r="B71" s="308" t="str">
        <f>GD!B71</f>
        <v>Unplanned Interruption Mean Duration ODI [Cadent only]</v>
      </c>
      <c r="C71" s="384" t="str">
        <f>GD!C71</f>
        <v>£m 18/19</v>
      </c>
      <c r="D71" s="385">
        <v>0</v>
      </c>
      <c r="E71" s="385">
        <v>0</v>
      </c>
      <c r="F71" s="385">
        <v>0</v>
      </c>
      <c r="G71" s="385">
        <v>0</v>
      </c>
      <c r="H71" s="385">
        <v>0</v>
      </c>
      <c r="J71" s="385">
        <v>0</v>
      </c>
      <c r="K71" s="385">
        <v>0</v>
      </c>
    </row>
    <row r="72" spans="2:11">
      <c r="B72" s="308" t="str">
        <f>GD!B72</f>
        <v>Shrinkage Management ODI</v>
      </c>
      <c r="C72" s="384" t="str">
        <f>GD!C72</f>
        <v>£m 18/19</v>
      </c>
      <c r="D72" s="385">
        <v>-0.33609418692797194</v>
      </c>
      <c r="E72" s="385">
        <v>0.36129578359696712</v>
      </c>
      <c r="F72" s="385">
        <v>0.40219149112710989</v>
      </c>
      <c r="G72" s="385">
        <v>0.28512216097219278</v>
      </c>
      <c r="H72" s="385">
        <v>0.12240557357321444</v>
      </c>
      <c r="J72" s="385">
        <v>0.42739308779610508</v>
      </c>
      <c r="K72" s="385">
        <v>0.83492082234151233</v>
      </c>
    </row>
    <row r="73" spans="2:11">
      <c r="B73" s="308" t="str">
        <f>GD!B73</f>
        <v>Collaborative streetworks ODI [Cadent Lon &amp; EoE, SGN So only]</v>
      </c>
      <c r="C73" s="384" t="str">
        <f>GD!C73</f>
        <v>£m 18/19</v>
      </c>
      <c r="D73" s="385">
        <v>0</v>
      </c>
      <c r="E73" s="385">
        <v>0</v>
      </c>
      <c r="F73" s="385">
        <v>0</v>
      </c>
      <c r="G73" s="385">
        <v>0</v>
      </c>
      <c r="H73" s="385">
        <v>0</v>
      </c>
      <c r="J73" s="385">
        <v>0</v>
      </c>
      <c r="K73" s="385">
        <v>0</v>
      </c>
    </row>
    <row r="74" spans="2:11">
      <c r="B74" s="308" t="str">
        <f>GD!B74</f>
        <v>Network innovation input for RORE</v>
      </c>
      <c r="C74" s="384"/>
      <c r="D74" s="385">
        <v>-0.13859385565002066</v>
      </c>
      <c r="E74" s="385">
        <v>-0.18792762726682957</v>
      </c>
      <c r="F74" s="385">
        <v>-0.25733250520024503</v>
      </c>
      <c r="G74" s="385">
        <v>-0.30864225849999999</v>
      </c>
      <c r="H74" s="385">
        <v>-0.25750375500000006</v>
      </c>
      <c r="J74" s="385">
        <v>-0.58385398811709521</v>
      </c>
      <c r="K74" s="385">
        <v>-1.1500000016170953</v>
      </c>
    </row>
    <row r="75" spans="2:11">
      <c r="B75" s="308" t="str">
        <f>GD!B75</f>
        <v>Carry-over Network innovation input for RORE</v>
      </c>
      <c r="C75" s="384"/>
      <c r="D75" s="385">
        <v>-0.13707745449332759</v>
      </c>
      <c r="E75" s="385">
        <v>0</v>
      </c>
      <c r="F75" s="385">
        <v>0</v>
      </c>
      <c r="G75" s="385">
        <v>0</v>
      </c>
      <c r="H75" s="385">
        <v>0</v>
      </c>
      <c r="J75" s="385">
        <v>-0.13707745449332759</v>
      </c>
      <c r="K75" s="385">
        <v>-0.13707745449332759</v>
      </c>
    </row>
    <row r="76" spans="2:11">
      <c r="B76" s="308" t="str">
        <f>GD!B76</f>
        <v>Strategic innovation input for RORE</v>
      </c>
      <c r="C76" s="384"/>
      <c r="D76" s="385">
        <v>0</v>
      </c>
      <c r="E76" s="385">
        <v>0</v>
      </c>
      <c r="F76" s="385">
        <v>0</v>
      </c>
      <c r="G76" s="385">
        <v>0</v>
      </c>
      <c r="H76" s="385">
        <v>0</v>
      </c>
      <c r="J76" s="385">
        <v>0</v>
      </c>
      <c r="K76" s="385">
        <v>0</v>
      </c>
    </row>
    <row r="77" spans="2:11">
      <c r="B77" s="308" t="str">
        <f>GD!B77</f>
        <v>H100 shareholder contribution</v>
      </c>
      <c r="C77" s="384"/>
      <c r="D77" s="385">
        <v>0</v>
      </c>
      <c r="E77" s="385">
        <v>0</v>
      </c>
      <c r="F77" s="385">
        <v>0</v>
      </c>
      <c r="G77" s="385">
        <v>0</v>
      </c>
      <c r="H77" s="385">
        <v>0</v>
      </c>
      <c r="J77" s="385">
        <v>0</v>
      </c>
      <c r="K77" s="385">
        <v>0</v>
      </c>
    </row>
    <row r="78" spans="2:11">
      <c r="B78" s="308" t="str">
        <f>GD!B78</f>
        <v>LTS shareholder contribution</v>
      </c>
      <c r="C78" s="384"/>
      <c r="D78" s="385">
        <v>0</v>
      </c>
      <c r="E78" s="385">
        <v>0</v>
      </c>
      <c r="F78" s="385">
        <v>0</v>
      </c>
      <c r="G78" s="385">
        <v>0</v>
      </c>
      <c r="H78" s="385">
        <v>0</v>
      </c>
      <c r="J78" s="385">
        <v>0</v>
      </c>
      <c r="K78" s="385">
        <v>0</v>
      </c>
    </row>
    <row r="79" spans="2:11">
      <c r="B79" s="308" t="str">
        <f>GD!B79</f>
        <v/>
      </c>
      <c r="C79" s="384"/>
      <c r="D79" s="385">
        <v>0</v>
      </c>
      <c r="E79" s="385">
        <v>0</v>
      </c>
      <c r="F79" s="385">
        <v>0</v>
      </c>
      <c r="G79" s="385">
        <v>0</v>
      </c>
      <c r="H79" s="385">
        <v>0</v>
      </c>
      <c r="J79" s="385">
        <v>0</v>
      </c>
      <c r="K79" s="385">
        <v>0</v>
      </c>
    </row>
    <row r="80" spans="2:11">
      <c r="B80" s="308" t="str">
        <f>GD!B80</f>
        <v/>
      </c>
      <c r="C80" s="384"/>
      <c r="D80" s="385">
        <v>0</v>
      </c>
      <c r="E80" s="385">
        <v>0</v>
      </c>
      <c r="F80" s="385">
        <v>0</v>
      </c>
      <c r="G80" s="385">
        <v>0</v>
      </c>
      <c r="H80" s="385">
        <v>0</v>
      </c>
      <c r="J80" s="385">
        <v>0</v>
      </c>
      <c r="K80" s="385">
        <v>0</v>
      </c>
    </row>
    <row r="81" spans="2:13">
      <c r="B81" s="308" t="str">
        <f>GD!B81</f>
        <v/>
      </c>
      <c r="C81" s="384"/>
      <c r="D81" s="385">
        <v>0</v>
      </c>
      <c r="E81" s="385">
        <v>0</v>
      </c>
      <c r="F81" s="385">
        <v>0</v>
      </c>
      <c r="G81" s="385">
        <v>0</v>
      </c>
      <c r="H81" s="385">
        <v>0</v>
      </c>
      <c r="J81" s="385">
        <v>0</v>
      </c>
      <c r="K81" s="385">
        <v>0</v>
      </c>
    </row>
    <row r="82" spans="2:13">
      <c r="B82" s="308" t="str">
        <f>GD!B82</f>
        <v>Penalties and fines (Other Activities)</v>
      </c>
      <c r="C82" s="384" t="str">
        <f>GD!C74</f>
        <v>£m 18/19</v>
      </c>
      <c r="D82" s="385">
        <v>-0.59372268480548462</v>
      </c>
      <c r="E82" s="385">
        <v>-0.35366403165991883</v>
      </c>
      <c r="F82" s="385">
        <v>-0.28360057533380473</v>
      </c>
      <c r="G82" s="385">
        <v>-0.36825004283425594</v>
      </c>
      <c r="H82" s="385">
        <v>-0.36258758975274041</v>
      </c>
      <c r="J82" s="385">
        <v>-1.2309872917992082</v>
      </c>
      <c r="K82" s="385">
        <v>-1.9618249243862045</v>
      </c>
    </row>
    <row r="83" spans="2:13">
      <c r="B83" s="306" t="str">
        <f>GD!B83</f>
        <v>RoRE - Operational performance</v>
      </c>
      <c r="C83" s="384" t="str">
        <f>GD!C83</f>
        <v>£m 18/19</v>
      </c>
      <c r="D83" s="387">
        <v>61.518866771023248</v>
      </c>
      <c r="E83" s="387">
        <v>61.295790940640764</v>
      </c>
      <c r="F83" s="387">
        <v>52.395972225691452</v>
      </c>
      <c r="G83" s="387">
        <v>44.290088122630259</v>
      </c>
      <c r="H83" s="387">
        <v>49.622485678955151</v>
      </c>
      <c r="I83" s="177"/>
      <c r="J83" s="387">
        <v>175.21062993735549</v>
      </c>
      <c r="K83" s="387">
        <v>269.1232037389409</v>
      </c>
    </row>
    <row r="84" spans="2:13">
      <c r="B84" s="308" t="str">
        <f>GD!B84</f>
        <v>Debt performance - at notional gearing</v>
      </c>
      <c r="C84" s="384" t="str">
        <f>GD!C84</f>
        <v>£m 18/19</v>
      </c>
      <c r="D84" s="385">
        <v>44.246589367448649</v>
      </c>
      <c r="E84" s="385">
        <v>82.051232529078007</v>
      </c>
      <c r="F84" s="385">
        <v>55.274691265406261</v>
      </c>
      <c r="G84" s="385">
        <v>20.372398102742036</v>
      </c>
      <c r="H84" s="385">
        <v>5.4602251937821391</v>
      </c>
      <c r="J84" s="385">
        <v>181.57251316193293</v>
      </c>
      <c r="K84" s="385">
        <v>207.40513645845712</v>
      </c>
    </row>
    <row r="85" spans="2:13">
      <c r="B85" s="308" t="str">
        <f>GD!B85</f>
        <v>Debt performance - impact of actual gearing</v>
      </c>
      <c r="C85" s="384" t="str">
        <f>GD!C85</f>
        <v>£m 18/19</v>
      </c>
      <c r="D85" s="385">
        <v>1.0787028362087554</v>
      </c>
      <c r="E85" s="385">
        <v>2.3817901157603245</v>
      </c>
      <c r="F85" s="385">
        <v>0.61783389628074303</v>
      </c>
      <c r="G85" s="385">
        <v>-0.44903371605435893</v>
      </c>
      <c r="H85" s="385">
        <v>-2.2337618385343907</v>
      </c>
      <c r="J85" s="385">
        <v>4.0783268482498229</v>
      </c>
      <c r="K85" s="385">
        <v>1.3955312936610733</v>
      </c>
      <c r="M85" s="406"/>
    </row>
    <row r="86" spans="2:13">
      <c r="B86" s="308" t="str">
        <f>GD!B86</f>
        <v>Tax performance - at notional gearing</v>
      </c>
      <c r="C86" s="384" t="str">
        <f>GD!C86</f>
        <v>£m 18/19</v>
      </c>
      <c r="D86" s="385">
        <v>4.0336403952471365</v>
      </c>
      <c r="E86" s="385">
        <v>-2.5384344188123116</v>
      </c>
      <c r="F86" s="385">
        <v>0.15445847407018576</v>
      </c>
      <c r="G86" s="385">
        <v>-0.11225842901358618</v>
      </c>
      <c r="H86" s="385">
        <v>-0.5584404596335979</v>
      </c>
      <c r="J86" s="385">
        <v>1.6496644505050106</v>
      </c>
      <c r="K86" s="385">
        <v>0.97896556185782657</v>
      </c>
    </row>
    <row r="87" spans="2:13">
      <c r="B87" s="308" t="str">
        <f>GD!B87</f>
        <v>Tax performance - impact of actual gearing</v>
      </c>
      <c r="C87" s="384" t="str">
        <f>GD!C87</f>
        <v>£m 18/19</v>
      </c>
      <c r="D87" s="385">
        <v>-0.20495353887966417</v>
      </c>
      <c r="E87" s="385">
        <v>-0.45254012199445981</v>
      </c>
      <c r="F87" s="385">
        <v>-0.15445847407018576</v>
      </c>
      <c r="G87" s="385">
        <v>0.11225842901358618</v>
      </c>
      <c r="H87" s="385">
        <v>0.5584404596335979</v>
      </c>
      <c r="J87" s="385">
        <v>-0.81195213494430973</v>
      </c>
      <c r="K87" s="385">
        <v>-0.14125324629712566</v>
      </c>
    </row>
    <row r="88" spans="2:13">
      <c r="B88" s="306" t="str">
        <f>GD!B88</f>
        <v>RoRE - including financing and tax</v>
      </c>
      <c r="C88" s="384" t="str">
        <f>GD!C88</f>
        <v>£m 18/19</v>
      </c>
      <c r="D88" s="387">
        <v>110.67284583104812</v>
      </c>
      <c r="E88" s="387">
        <v>142.73783904467234</v>
      </c>
      <c r="F88" s="387">
        <v>108.28849738737846</v>
      </c>
      <c r="G88" s="387">
        <v>64.213452509317932</v>
      </c>
      <c r="H88" s="387">
        <v>52.848949034202903</v>
      </c>
      <c r="I88" s="177"/>
      <c r="J88" s="387">
        <v>361.69918226309892</v>
      </c>
      <c r="K88" s="387">
        <v>478.7615838066198</v>
      </c>
    </row>
    <row r="89" spans="2:13">
      <c r="C89" s="384"/>
      <c r="D89" s="390"/>
    </row>
    <row r="90" spans="2:13">
      <c r="B90" s="308" t="str">
        <f>GD!B90</f>
        <v>NPV-neutral equity RAV based on notional gearing</v>
      </c>
      <c r="C90" s="384" t="str">
        <f>GD!C90</f>
        <v>£m 18/19</v>
      </c>
      <c r="D90" s="385">
        <v>885.00482966472305</v>
      </c>
      <c r="E90" s="385">
        <v>897.96321119230106</v>
      </c>
      <c r="F90" s="385">
        <v>908.17730715874222</v>
      </c>
      <c r="G90" s="385">
        <v>918.90391723371033</v>
      </c>
      <c r="H90" s="385">
        <v>930.30784379513977</v>
      </c>
    </row>
    <row r="91" spans="2:13">
      <c r="B91" s="308" t="str">
        <f>GD!B91</f>
        <v>Equity RAV based on actual gearing</v>
      </c>
      <c r="C91" s="384" t="str">
        <f>GD!C91</f>
        <v>£m 18/19</v>
      </c>
      <c r="D91" s="385">
        <v>796.80765177620242</v>
      </c>
      <c r="E91" s="385">
        <v>840.31585045515089</v>
      </c>
      <c r="F91" s="385">
        <v>878.43879810241117</v>
      </c>
      <c r="G91" s="385">
        <v>854.01262277451895</v>
      </c>
      <c r="H91" s="385">
        <v>816.26566636084499</v>
      </c>
    </row>
    <row r="94" spans="2:13">
      <c r="B94" s="306" t="s">
        <v>189</v>
      </c>
      <c r="D94" s="307" t="str">
        <f>GD!D94</f>
        <v>Actuals</v>
      </c>
      <c r="E94" s="307" t="str">
        <f>GD!E94</f>
        <v>Actuals</v>
      </c>
      <c r="F94" s="307" t="str">
        <f>GD!F94</f>
        <v>Actuals</v>
      </c>
      <c r="G94" s="307" t="str">
        <f>GD!G94</f>
        <v>Forecast</v>
      </c>
      <c r="H94" s="307" t="str">
        <f>GD!H94</f>
        <v>Forecast</v>
      </c>
    </row>
    <row r="95" spans="2:13" ht="22.8">
      <c r="D95" s="309">
        <f>GD!D95</f>
        <v>2022</v>
      </c>
      <c r="E95" s="309">
        <f>GD!E95</f>
        <v>2023</v>
      </c>
      <c r="F95" s="309">
        <f>GD!F95</f>
        <v>2024</v>
      </c>
      <c r="G95" s="309">
        <f>GD!G95</f>
        <v>2025</v>
      </c>
      <c r="H95" s="309">
        <f>GD!H95</f>
        <v>2026</v>
      </c>
      <c r="J95" s="310" t="str">
        <f>GD!J95</f>
        <v>Cumulative to 2024</v>
      </c>
      <c r="K95" s="311" t="str">
        <f>GD!K95</f>
        <v>RIIO-2 period</v>
      </c>
    </row>
    <row r="96" spans="2:13">
      <c r="B96" s="308" t="s">
        <v>154</v>
      </c>
      <c r="C96" s="384" t="str">
        <f>GD!C96</f>
        <v>£m 18/19</v>
      </c>
      <c r="D96" s="326">
        <v>214.881</v>
      </c>
      <c r="E96" s="326">
        <v>220.92500000000001</v>
      </c>
      <c r="F96" s="326">
        <v>242.62800000000004</v>
      </c>
      <c r="G96" s="326">
        <v>265.59799999999996</v>
      </c>
      <c r="H96" s="326">
        <v>256.55200000000002</v>
      </c>
      <c r="I96" s="308"/>
      <c r="J96" s="326">
        <v>678.43399999999997</v>
      </c>
      <c r="K96" s="326">
        <v>1200.5840000000001</v>
      </c>
      <c r="L96" s="308"/>
    </row>
    <row r="97" spans="2:12" ht="22.8">
      <c r="B97" s="312" t="s">
        <v>155</v>
      </c>
      <c r="C97" s="384" t="str">
        <f>GD!C97</f>
        <v>£m 18/19</v>
      </c>
      <c r="D97" s="326">
        <v>256.15709434113376</v>
      </c>
      <c r="E97" s="326">
        <v>257.19362196403472</v>
      </c>
      <c r="F97" s="326">
        <v>246.38072946639585</v>
      </c>
      <c r="G97" s="326">
        <v>246.46410947244078</v>
      </c>
      <c r="H97" s="326">
        <v>248.54537048820384</v>
      </c>
      <c r="I97" s="308"/>
      <c r="J97" s="326">
        <v>759.73144577156427</v>
      </c>
      <c r="K97" s="326">
        <v>1254.7409257322088</v>
      </c>
      <c r="L97" s="308"/>
    </row>
    <row r="98" spans="2:12">
      <c r="B98" s="306" t="s">
        <v>156</v>
      </c>
      <c r="C98" s="384" t="str">
        <f>GD!C98</f>
        <v>£m 18/19</v>
      </c>
      <c r="D98" s="326">
        <v>41.276094341133778</v>
      </c>
      <c r="E98" s="326">
        <v>36.268621964034722</v>
      </c>
      <c r="F98" s="326">
        <v>3.7527294663958095</v>
      </c>
      <c r="G98" s="326">
        <v>-19.133890527559203</v>
      </c>
      <c r="H98" s="326">
        <v>-8.0066295117961719</v>
      </c>
      <c r="I98" s="308"/>
      <c r="J98" s="326">
        <v>81.297445771564298</v>
      </c>
      <c r="K98" s="326">
        <v>54.15692573220894</v>
      </c>
      <c r="L98" s="308"/>
    </row>
    <row r="99" spans="2:12">
      <c r="B99" s="308" t="s">
        <v>157</v>
      </c>
      <c r="C99" s="384" t="str">
        <f>GD!C99</f>
        <v>£m 18/19</v>
      </c>
      <c r="D99" s="326">
        <v>0</v>
      </c>
      <c r="E99" s="326">
        <v>0</v>
      </c>
      <c r="F99" s="326">
        <v>0</v>
      </c>
      <c r="G99" s="326">
        <v>0</v>
      </c>
      <c r="H99" s="326">
        <v>0</v>
      </c>
      <c r="I99" s="308"/>
      <c r="J99" s="326">
        <v>0</v>
      </c>
      <c r="K99" s="326">
        <v>0</v>
      </c>
      <c r="L99" s="308"/>
    </row>
    <row r="100" spans="2:12">
      <c r="B100" s="306" t="s">
        <v>158</v>
      </c>
      <c r="C100" s="384" t="str">
        <f>GD!C100</f>
        <v>£m 18/19</v>
      </c>
      <c r="D100" s="303">
        <f>D98+D99</f>
        <v>41.276094341133778</v>
      </c>
      <c r="E100" s="303">
        <f t="shared" ref="E100:H100" si="27">E98+E99</f>
        <v>36.268621964034722</v>
      </c>
      <c r="F100" s="303">
        <f t="shared" si="27"/>
        <v>3.7527294663958095</v>
      </c>
      <c r="G100" s="303">
        <f t="shared" si="27"/>
        <v>-19.133890527559203</v>
      </c>
      <c r="H100" s="303">
        <f t="shared" si="27"/>
        <v>-8.0066295117961719</v>
      </c>
      <c r="I100" s="308"/>
      <c r="J100" s="303">
        <f>J98+J99</f>
        <v>81.297445771564298</v>
      </c>
      <c r="K100" s="303">
        <f>K98+K99</f>
        <v>54.15692573220894</v>
      </c>
      <c r="L100" s="308"/>
    </row>
    <row r="101" spans="2:12">
      <c r="B101" s="306" t="s">
        <v>159</v>
      </c>
      <c r="C101" s="314" t="s">
        <v>163</v>
      </c>
      <c r="D101" s="151">
        <f>D100/D97</f>
        <v>0.16113586253506176</v>
      </c>
      <c r="E101" s="151">
        <f>E100/E97</f>
        <v>0.14101680161068081</v>
      </c>
      <c r="F101" s="151">
        <f t="shared" ref="F101:H101" si="28">F100/F97</f>
        <v>1.5231424448346105E-2</v>
      </c>
      <c r="G101" s="151">
        <f t="shared" si="28"/>
        <v>-7.7633577434521858E-2</v>
      </c>
      <c r="H101" s="151">
        <f t="shared" si="28"/>
        <v>-3.2213955528800214E-2</v>
      </c>
      <c r="J101" s="151">
        <f>J100/J97</f>
        <v>0.10700813586701106</v>
      </c>
      <c r="K101" s="151">
        <f>K100/K97</f>
        <v>4.3161838927510444E-2</v>
      </c>
    </row>
  </sheetData>
  <conditionalFormatting sqref="D6:G7 D94:G95">
    <cfRule type="expression" dxfId="41" priority="3">
      <formula>AND(D$6="Actuals",E$6="Forecast")</formula>
    </cfRule>
  </conditionalFormatting>
  <conditionalFormatting sqref="H6:H7 H94:H95">
    <cfRule type="expression" dxfId="40" priority="58">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5" tint="0.39997558519241921"/>
  </sheetPr>
  <dimension ref="A1:M119"/>
  <sheetViews>
    <sheetView zoomScale="80" zoomScaleNormal="80" workbookViewId="0"/>
  </sheetViews>
  <sheetFormatPr defaultColWidth="9.26953125" defaultRowHeight="11.4"/>
  <cols>
    <col min="1" max="1" width="7.26953125" style="104" customWidth="1"/>
    <col min="2" max="2" width="53.08984375" style="308" customWidth="1"/>
    <col min="3" max="3" width="8.6328125" style="104" bestFit="1" customWidth="1"/>
    <col min="4" max="4" width="12.26953125" style="104" customWidth="1"/>
    <col min="5" max="8" width="9.08984375" style="104" customWidth="1"/>
    <col min="9" max="9" width="3.6328125" style="104" customWidth="1"/>
    <col min="10" max="11" width="13.7265625" style="104" customWidth="1"/>
    <col min="12" max="12" width="5.08984375" style="104" customWidth="1"/>
    <col min="13" max="16384" width="9.26953125" style="104"/>
  </cols>
  <sheetData>
    <row r="1" spans="1:13" s="111" customFormat="1" ht="57" customHeight="1"/>
    <row r="2" spans="1:13" ht="15.6">
      <c r="A2" s="419" t="s">
        <v>162</v>
      </c>
      <c r="B2" s="346"/>
      <c r="C2" s="347"/>
      <c r="D2" s="347"/>
      <c r="E2" s="347"/>
      <c r="F2" s="347"/>
      <c r="G2" s="347"/>
      <c r="H2" s="347"/>
      <c r="I2" s="348"/>
      <c r="J2" s="348"/>
      <c r="K2" s="348"/>
      <c r="L2" s="349" t="s">
        <v>30</v>
      </c>
    </row>
    <row r="3" spans="1:13" ht="15.6">
      <c r="A3" s="425" t="s">
        <v>14</v>
      </c>
      <c r="B3" s="350"/>
      <c r="C3" s="351"/>
      <c r="D3" s="351"/>
      <c r="E3" s="351"/>
      <c r="F3" s="351"/>
      <c r="G3" s="351"/>
      <c r="H3" s="351"/>
      <c r="I3" s="352"/>
      <c r="J3" s="352"/>
      <c r="K3" s="352"/>
      <c r="L3" s="353"/>
    </row>
    <row r="4" spans="1:13" ht="15.6">
      <c r="A4" s="430">
        <f>Data!$B$3</f>
        <v>2024</v>
      </c>
      <c r="B4" s="354"/>
      <c r="C4" s="355"/>
      <c r="D4" s="355"/>
      <c r="E4" s="355"/>
      <c r="F4" s="355"/>
      <c r="G4" s="355"/>
      <c r="H4" s="355"/>
      <c r="I4" s="356"/>
      <c r="J4" s="356"/>
      <c r="K4" s="356"/>
      <c r="L4" s="357"/>
    </row>
    <row r="5" spans="1:13" ht="12.75" customHeight="1">
      <c r="J5" s="358"/>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GD!B11</f>
        <v>Allowed Equity Return</v>
      </c>
      <c r="C11" s="370" t="s">
        <v>163</v>
      </c>
      <c r="D11" s="284">
        <f t="shared" ref="D11:H19" si="1">D65/D$90</f>
        <v>4.5181881E-2</v>
      </c>
      <c r="E11" s="371">
        <f t="shared" si="1"/>
        <v>4.5568105000000005E-2</v>
      </c>
      <c r="F11" s="371">
        <f t="shared" si="1"/>
        <v>5.2833943999999987E-2</v>
      </c>
      <c r="G11" s="371">
        <f t="shared" si="1"/>
        <v>5.5875458000000003E-2</v>
      </c>
      <c r="H11" s="371">
        <f t="shared" si="1"/>
        <v>5.5175426999999985E-2</v>
      </c>
      <c r="I11" s="194"/>
      <c r="J11" s="284">
        <f>AVERAGE(D65:INDEX(D65:H65,0,MATCH(Data!$B$3,$D$7:$H$7,0)))/AVERAGE($D$90:INDEX($D$90:$H$90,0,MATCH(Data!$B$3,$D$7:$H$7,0)))</f>
        <v>4.7873048495357728E-2</v>
      </c>
      <c r="K11" s="285">
        <f t="shared" ref="K11:K19" si="2">AVERAGE(D65:H65)/AVERAGE($D$90:$H$90)</f>
        <v>5.0971447241777303E-2</v>
      </c>
    </row>
    <row r="12" spans="1:13">
      <c r="B12" s="369" t="str">
        <f>GD!B12</f>
        <v>Totex outperformance</v>
      </c>
      <c r="C12" s="370" t="s">
        <v>163</v>
      </c>
      <c r="D12" s="282">
        <f t="shared" si="1"/>
        <v>1.0411083755286233E-2</v>
      </c>
      <c r="E12" s="283">
        <f t="shared" si="1"/>
        <v>2.361717653819183E-3</v>
      </c>
      <c r="F12" s="283">
        <f t="shared" si="1"/>
        <v>-8.6441365877438624E-3</v>
      </c>
      <c r="G12" s="283">
        <f t="shared" si="1"/>
        <v>-2.8788017520354363E-2</v>
      </c>
      <c r="H12" s="283">
        <f t="shared" si="1"/>
        <v>-1.2443153468992527E-2</v>
      </c>
      <c r="I12" s="194"/>
      <c r="J12" s="284">
        <f>AVERAGE(D66:INDEX(D66:H66,0,MATCH(Data!$B$3,$D$7:$H$7,0)))/AVERAGE($D$90:INDEX($D$90:$H$90,0,MATCH(Data!$B$3,$D$7:$H$7,0)))</f>
        <v>1.3471682340589215E-3</v>
      </c>
      <c r="K12" s="285">
        <f t="shared" si="2"/>
        <v>-7.5273823786609507E-3</v>
      </c>
      <c r="M12" s="194"/>
    </row>
    <row r="13" spans="1:13">
      <c r="B13" s="369" t="str">
        <f>GD!B13</f>
        <v>Business Plan Incentive</v>
      </c>
      <c r="C13" s="370" t="s">
        <v>163</v>
      </c>
      <c r="D13" s="282">
        <f t="shared" si="1"/>
        <v>0</v>
      </c>
      <c r="E13" s="283">
        <f t="shared" si="1"/>
        <v>0</v>
      </c>
      <c r="F13" s="283">
        <f t="shared" si="1"/>
        <v>0</v>
      </c>
      <c r="G13" s="283">
        <f t="shared" si="1"/>
        <v>0</v>
      </c>
      <c r="H13" s="283">
        <f t="shared" si="1"/>
        <v>0</v>
      </c>
      <c r="I13" s="194"/>
      <c r="J13" s="284">
        <f>AVERAGE(D67:INDEX(D67:H67,0,MATCH(Data!$B$3,$D$7:$H$7,0)))/AVERAGE($D$90:INDEX($D$90:$H$90,0,MATCH(Data!$B$3,$D$7:$H$7,0)))</f>
        <v>0</v>
      </c>
      <c r="K13" s="285">
        <f t="shared" si="2"/>
        <v>0</v>
      </c>
    </row>
    <row r="14" spans="1:13">
      <c r="B14" s="369" t="str">
        <f>GD!B14</f>
        <v>Customer Satisfaction Survey ODI</v>
      </c>
      <c r="C14" s="370" t="s">
        <v>163</v>
      </c>
      <c r="D14" s="282">
        <f t="shared" si="1"/>
        <v>9.4853720756908502E-4</v>
      </c>
      <c r="E14" s="283">
        <f t="shared" si="1"/>
        <v>8.4963066832451767E-4</v>
      </c>
      <c r="F14" s="283">
        <f t="shared" si="1"/>
        <v>1.5982461665271298E-3</v>
      </c>
      <c r="G14" s="283">
        <f t="shared" si="1"/>
        <v>0</v>
      </c>
      <c r="H14" s="283">
        <f t="shared" si="1"/>
        <v>0</v>
      </c>
      <c r="I14" s="194"/>
      <c r="J14" s="284">
        <f>AVERAGE(D68:INDEX(D68:H68,0,MATCH(Data!$B$3,$D$7:$H$7,0)))/AVERAGE($D$90:INDEX($D$90:$H$90,0,MATCH(Data!$B$3,$D$7:$H$7,0)))</f>
        <v>1.133137993132471E-3</v>
      </c>
      <c r="K14" s="285">
        <f t="shared" si="2"/>
        <v>6.7420843350333764E-4</v>
      </c>
    </row>
    <row r="15" spans="1:13">
      <c r="B15" s="369" t="str">
        <f>GD!B15</f>
        <v>Complaints metric ODI</v>
      </c>
      <c r="C15" s="370" t="s">
        <v>163</v>
      </c>
      <c r="D15" s="282">
        <f t="shared" si="1"/>
        <v>0</v>
      </c>
      <c r="E15" s="283">
        <f t="shared" si="1"/>
        <v>0</v>
      </c>
      <c r="F15" s="283">
        <f t="shared" si="1"/>
        <v>0</v>
      </c>
      <c r="G15" s="283">
        <f t="shared" si="1"/>
        <v>0</v>
      </c>
      <c r="H15" s="283">
        <f t="shared" si="1"/>
        <v>0</v>
      </c>
      <c r="I15" s="194"/>
      <c r="J15" s="284">
        <f>AVERAGE(D69:INDEX(D69:H69,0,MATCH(Data!$B$3,$D$7:$H$7,0)))/AVERAGE($D$90:INDEX($D$90:$H$90,0,MATCH(Data!$B$3,$D$7:$H$7,0)))</f>
        <v>0</v>
      </c>
      <c r="K15" s="285">
        <f t="shared" si="2"/>
        <v>0</v>
      </c>
    </row>
    <row r="16" spans="1:13">
      <c r="B16" s="369" t="str">
        <f>GD!B16</f>
        <v>Unplanned Interruption Mean Duration ODI [NGN, SGN and WWU]</v>
      </c>
      <c r="C16" s="370" t="s">
        <v>163</v>
      </c>
      <c r="D16" s="282">
        <f t="shared" si="1"/>
        <v>0</v>
      </c>
      <c r="E16" s="283">
        <f t="shared" si="1"/>
        <v>-6.5584450853135433E-4</v>
      </c>
      <c r="F16" s="283">
        <f t="shared" si="1"/>
        <v>-1.361275568496598E-3</v>
      </c>
      <c r="G16" s="283">
        <f t="shared" si="1"/>
        <v>0</v>
      </c>
      <c r="H16" s="283">
        <f t="shared" si="1"/>
        <v>0</v>
      </c>
      <c r="I16" s="194"/>
      <c r="J16" s="284">
        <f>AVERAGE(D70:INDEX(D70:H70,0,MATCH(Data!$B$3,$D$7:$H$7,0)))/AVERAGE($D$90:INDEX($D$90:$H$90,0,MATCH(Data!$B$3,$D$7:$H$7,0)))</f>
        <v>-6.7444685873475495E-4</v>
      </c>
      <c r="K16" s="285">
        <f t="shared" si="2"/>
        <v>-4.0129071910454116E-4</v>
      </c>
    </row>
    <row r="17" spans="2:11">
      <c r="B17" s="369" t="str">
        <f>GD!B17</f>
        <v>Unplanned Interruption Mean Duration ODI [Cadent only]</v>
      </c>
      <c r="C17" s="370" t="s">
        <v>163</v>
      </c>
      <c r="D17" s="282">
        <f t="shared" si="1"/>
        <v>0</v>
      </c>
      <c r="E17" s="283">
        <f t="shared" si="1"/>
        <v>0</v>
      </c>
      <c r="F17" s="283">
        <f t="shared" si="1"/>
        <v>0</v>
      </c>
      <c r="G17" s="283">
        <f t="shared" si="1"/>
        <v>0</v>
      </c>
      <c r="H17" s="283">
        <f t="shared" si="1"/>
        <v>0</v>
      </c>
      <c r="I17" s="194"/>
      <c r="J17" s="284">
        <f>AVERAGE(D71:INDEX(D71:H71,0,MATCH(Data!$B$3,$D$7:$H$7,0)))/AVERAGE($D$90:INDEX($D$90:$H$90,0,MATCH(Data!$B$3,$D$7:$H$7,0)))</f>
        <v>0</v>
      </c>
      <c r="K17" s="285">
        <f t="shared" si="2"/>
        <v>0</v>
      </c>
    </row>
    <row r="18" spans="2:11">
      <c r="B18" s="369" t="str">
        <f>GD!B18</f>
        <v>Shrinkage Management ODI</v>
      </c>
      <c r="C18" s="370" t="s">
        <v>163</v>
      </c>
      <c r="D18" s="282">
        <f t="shared" si="1"/>
        <v>1.8384632503399702E-4</v>
      </c>
      <c r="E18" s="283">
        <f t="shared" si="1"/>
        <v>1.8578261841191866E-4</v>
      </c>
      <c r="F18" s="283">
        <f t="shared" si="1"/>
        <v>1.7300440446319879E-4</v>
      </c>
      <c r="G18" s="283">
        <f t="shared" si="1"/>
        <v>0</v>
      </c>
      <c r="H18" s="283">
        <f t="shared" si="1"/>
        <v>0</v>
      </c>
      <c r="I18" s="194"/>
      <c r="J18" s="284">
        <f>AVERAGE(D72:INDEX(D72:H72,0,MATCH(Data!$B$3,$D$7:$H$7,0)))/AVERAGE($D$90:INDEX($D$90:$H$90,0,MATCH(Data!$B$3,$D$7:$H$7,0)))</f>
        <v>1.8086108846312391E-4</v>
      </c>
      <c r="K18" s="285">
        <f t="shared" si="2"/>
        <v>1.0761096342497801E-4</v>
      </c>
    </row>
    <row r="19" spans="2:11">
      <c r="B19" s="369" t="str">
        <f>GD!B19</f>
        <v>Collaborative streetworks ODI [Cadent Lon &amp; EoE, SGN So only]</v>
      </c>
      <c r="C19" s="370" t="s">
        <v>163</v>
      </c>
      <c r="D19" s="282">
        <f t="shared" si="1"/>
        <v>4.1145631264656086E-4</v>
      </c>
      <c r="E19" s="283">
        <f t="shared" si="1"/>
        <v>6.8270503447803081E-4</v>
      </c>
      <c r="F19" s="283">
        <f t="shared" si="1"/>
        <v>5.4361904863039253E-4</v>
      </c>
      <c r="G19" s="283">
        <f t="shared" si="1"/>
        <v>0</v>
      </c>
      <c r="H19" s="283">
        <f t="shared" si="1"/>
        <v>0</v>
      </c>
      <c r="I19" s="194"/>
      <c r="J19" s="284">
        <f>AVERAGE(D73:INDEX(D73:H73,0,MATCH(Data!$B$3,$D$7:$H$7,0)))/AVERAGE($D$90:INDEX($D$90:$H$90,0,MATCH(Data!$B$3,$D$7:$H$7,0)))</f>
        <v>5.4612289888699176E-4</v>
      </c>
      <c r="K19" s="285">
        <f t="shared" si="2"/>
        <v>3.2493894511562399E-4</v>
      </c>
    </row>
    <row r="20" spans="2:11">
      <c r="B20" s="369" t="str">
        <f>GD!B20</f>
        <v>Network innovation input for RORE</v>
      </c>
      <c r="C20" s="370" t="s">
        <v>163</v>
      </c>
      <c r="D20" s="282">
        <f t="shared" ref="D20:H20" si="3">D74/D$90</f>
        <v>-1.0232131557217092E-4</v>
      </c>
      <c r="E20" s="283">
        <f t="shared" si="3"/>
        <v>-1.4128368042692438E-4</v>
      </c>
      <c r="F20" s="283">
        <f t="shared" si="3"/>
        <v>-1.8469049290577579E-4</v>
      </c>
      <c r="G20" s="283">
        <f t="shared" si="3"/>
        <v>0</v>
      </c>
      <c r="H20" s="283">
        <f t="shared" si="3"/>
        <v>0</v>
      </c>
      <c r="I20" s="194"/>
      <c r="J20" s="284">
        <f>AVERAGE(D74:INDEX(D74:H74,0,MATCH(Data!$B$3,$D$7:$H$7,0)))/AVERAGE($D$90:INDEX($D$90:$H$90,0,MATCH(Data!$B$3,$D$7:$H$7,0)))</f>
        <v>-1.4289064611202863E-4</v>
      </c>
      <c r="K20" s="285">
        <f t="shared" ref="K20:K23" si="4">AVERAGE(D74:H74)/AVERAGE($D$90:$H$90)</f>
        <v>-8.5018840830807871E-5</v>
      </c>
    </row>
    <row r="21" spans="2:11">
      <c r="B21" s="369" t="str">
        <f>GD!B21</f>
        <v>Carry-over Network innovation input for RORE</v>
      </c>
      <c r="C21" s="370" t="s">
        <v>163</v>
      </c>
      <c r="D21" s="282">
        <f t="shared" ref="D21:H21" si="5">D75/D$90</f>
        <v>-2.6020227404350377E-5</v>
      </c>
      <c r="E21" s="283">
        <f t="shared" si="5"/>
        <v>0</v>
      </c>
      <c r="F21" s="283">
        <f t="shared" si="5"/>
        <v>0</v>
      </c>
      <c r="G21" s="283">
        <f t="shared" si="5"/>
        <v>0</v>
      </c>
      <c r="H21" s="283">
        <f t="shared" si="5"/>
        <v>0</v>
      </c>
      <c r="I21" s="194"/>
      <c r="J21" s="284">
        <f>AVERAGE(D75:INDEX(D75:H75,0,MATCH(Data!$B$3,$D$7:$H$7,0)))/AVERAGE($D$90:INDEX($D$90:$H$90,0,MATCH(Data!$B$3,$D$7:$H$7,0)))</f>
        <v>-8.6341135030592589E-6</v>
      </c>
      <c r="K21" s="285">
        <f t="shared" si="4"/>
        <v>-5.1372314535984883E-6</v>
      </c>
    </row>
    <row r="22" spans="2:11">
      <c r="B22" s="369" t="str">
        <f>GD!B22</f>
        <v>Strategic innovation input for RORE</v>
      </c>
      <c r="C22" s="370" t="s">
        <v>163</v>
      </c>
      <c r="D22" s="282">
        <f t="shared" ref="D22:H22" si="6">D76/D$90</f>
        <v>0</v>
      </c>
      <c r="E22" s="283">
        <f t="shared" si="6"/>
        <v>0</v>
      </c>
      <c r="F22" s="283">
        <f t="shared" si="6"/>
        <v>0</v>
      </c>
      <c r="G22" s="283">
        <f t="shared" si="6"/>
        <v>0</v>
      </c>
      <c r="H22" s="283">
        <f t="shared" si="6"/>
        <v>0</v>
      </c>
      <c r="I22" s="194"/>
      <c r="J22" s="284">
        <f>AVERAGE(D76:INDEX(D76:H76,0,MATCH(Data!$B$3,$D$7:$H$7,0)))/AVERAGE($D$90:INDEX($D$90:$H$90,0,MATCH(Data!$B$3,$D$7:$H$7,0)))</f>
        <v>0</v>
      </c>
      <c r="K22" s="285">
        <f t="shared" si="4"/>
        <v>0</v>
      </c>
    </row>
    <row r="23" spans="2:11">
      <c r="B23" s="369" t="str">
        <f>GD!B23</f>
        <v>H100 shareholder contribution</v>
      </c>
      <c r="C23" s="370" t="s">
        <v>163</v>
      </c>
      <c r="D23" s="282">
        <f t="shared" ref="D23:H24" si="7">D77/D$90</f>
        <v>-5.0689753905644496E-4</v>
      </c>
      <c r="E23" s="283">
        <f t="shared" si="7"/>
        <v>-5.3590017294276716E-4</v>
      </c>
      <c r="F23" s="283">
        <f t="shared" si="7"/>
        <v>0</v>
      </c>
      <c r="G23" s="283">
        <f t="shared" si="7"/>
        <v>0</v>
      </c>
      <c r="H23" s="283">
        <f t="shared" si="7"/>
        <v>0</v>
      </c>
      <c r="I23" s="194"/>
      <c r="J23" s="284">
        <f>AVERAGE(D77:INDEX(D77:H77,0,MATCH(Data!$B$3,$D$7:$H$7,0)))/AVERAGE($D$90:INDEX($D$90:$H$90,0,MATCH(Data!$B$3,$D$7:$H$7,0)))</f>
        <v>-3.4682027099710851E-4</v>
      </c>
      <c r="K23" s="285">
        <f t="shared" si="4"/>
        <v>-2.0635540687305104E-4</v>
      </c>
    </row>
    <row r="24" spans="2:11">
      <c r="B24" s="369" t="str">
        <f>GD!B24</f>
        <v>LTS shareholder contribution</v>
      </c>
      <c r="C24" s="370" t="s">
        <v>163</v>
      </c>
      <c r="D24" s="282">
        <f t="shared" si="7"/>
        <v>0</v>
      </c>
      <c r="E24" s="283">
        <f t="shared" si="7"/>
        <v>-2.3858324961616579E-4</v>
      </c>
      <c r="F24" s="283">
        <f t="shared" si="7"/>
        <v>0</v>
      </c>
      <c r="G24" s="283">
        <f t="shared" si="7"/>
        <v>0</v>
      </c>
      <c r="H24" s="283">
        <f t="shared" si="7"/>
        <v>0</v>
      </c>
      <c r="I24" s="194"/>
      <c r="J24" s="284">
        <f>AVERAGE(D78:INDEX(D78:H78,0,MATCH(Data!$B$3,$D$7:$H$7,0)))/AVERAGE($D$90:INDEX($D$90:$H$90,0,MATCH(Data!$B$3,$D$7:$H$7,0)))</f>
        <v>-7.9521761062031578E-5</v>
      </c>
      <c r="K24" s="285">
        <f t="shared" ref="K24" si="8">AVERAGE(D78:H78)/AVERAGE($D$90:$H$90)</f>
        <v>-4.7314839216401756E-5</v>
      </c>
    </row>
    <row r="25" spans="2:11">
      <c r="B25" s="369" t="str">
        <f>GD!B25</f>
        <v/>
      </c>
      <c r="C25" s="370" t="s">
        <v>163</v>
      </c>
      <c r="D25" s="282"/>
      <c r="E25" s="283"/>
      <c r="F25" s="283"/>
      <c r="G25" s="283"/>
      <c r="H25" s="283"/>
      <c r="I25" s="194"/>
      <c r="J25" s="284"/>
      <c r="K25" s="285"/>
    </row>
    <row r="26" spans="2:11">
      <c r="B26" s="369" t="str">
        <f>GD!B26</f>
        <v/>
      </c>
      <c r="C26" s="370" t="s">
        <v>163</v>
      </c>
      <c r="D26" s="282"/>
      <c r="E26" s="283"/>
      <c r="F26" s="283"/>
      <c r="G26" s="283"/>
      <c r="H26" s="283"/>
      <c r="I26" s="194"/>
      <c r="J26" s="284"/>
      <c r="K26" s="285"/>
    </row>
    <row r="27" spans="2:11">
      <c r="B27" s="369" t="str">
        <f>GD!B27</f>
        <v/>
      </c>
      <c r="C27" s="370" t="s">
        <v>163</v>
      </c>
      <c r="D27" s="282"/>
      <c r="E27" s="283"/>
      <c r="F27" s="283"/>
      <c r="G27" s="283"/>
      <c r="H27" s="283"/>
      <c r="I27" s="194"/>
      <c r="J27" s="284"/>
      <c r="K27" s="285"/>
    </row>
    <row r="28" spans="2:11">
      <c r="B28" s="369" t="str">
        <f>GD!B28</f>
        <v>Penalties and fines (Other Activities)</v>
      </c>
      <c r="C28" s="370" t="s">
        <v>163</v>
      </c>
      <c r="D28" s="282">
        <f t="shared" ref="D28:H28" si="9">D82/D$90</f>
        <v>-6.2052141111103103E-4</v>
      </c>
      <c r="E28" s="283">
        <f t="shared" si="9"/>
        <v>-5.8024532323974417E-4</v>
      </c>
      <c r="F28" s="283">
        <f t="shared" si="9"/>
        <v>-9.3960570203481086E-4</v>
      </c>
      <c r="G28" s="283">
        <f t="shared" si="9"/>
        <v>0</v>
      </c>
      <c r="H28" s="283">
        <f t="shared" si="9"/>
        <v>0</v>
      </c>
      <c r="I28" s="194"/>
      <c r="J28" s="284">
        <f>AVERAGE(D82:INDEX(D82:H82,0,MATCH(Data!$B$3,$D$7:$H$7,0)))/AVERAGE($D$90:INDEX($D$90:$H$90,0,MATCH(Data!$B$3,$D$7:$H$7,0)))</f>
        <v>-7.1394837897600634E-4</v>
      </c>
      <c r="K28" s="285">
        <f>AVERAGE(D82:H82)/AVERAGE($D$90:$H$90)</f>
        <v>-4.2479382132533221E-4</v>
      </c>
    </row>
    <row r="29" spans="2:11">
      <c r="B29" s="372" t="str">
        <f>GD!B29</f>
        <v>RoRE - Operational performance</v>
      </c>
      <c r="C29" s="370" t="s">
        <v>163</v>
      </c>
      <c r="D29" s="324">
        <f t="shared" ref="D29:H29" si="10">SUM(D11:D28)</f>
        <v>5.5881044107391878E-2</v>
      </c>
      <c r="E29" s="373">
        <f t="shared" si="10"/>
        <v>4.74960840402767E-2</v>
      </c>
      <c r="F29" s="373">
        <f t="shared" si="10"/>
        <v>4.4019105268439662E-2</v>
      </c>
      <c r="G29" s="373">
        <f t="shared" si="10"/>
        <v>2.708744047964564E-2</v>
      </c>
      <c r="H29" s="373">
        <f t="shared" si="10"/>
        <v>4.2732273531007461E-2</v>
      </c>
      <c r="I29" s="287"/>
      <c r="J29" s="151">
        <f>SUM(J11:J28)</f>
        <v>4.9114076680514235E-2</v>
      </c>
      <c r="K29" s="323">
        <f>SUM(K11:K28)</f>
        <v>4.3380912346356555E-2</v>
      </c>
    </row>
    <row r="30" spans="2:11">
      <c r="B30" s="369" t="str">
        <f>GD!B30</f>
        <v>Debt performance - at notional gearing</v>
      </c>
      <c r="C30" s="370" t="s">
        <v>163</v>
      </c>
      <c r="D30" s="282">
        <f>(D84)/D$90</f>
        <v>1.7236886831305965E-2</v>
      </c>
      <c r="E30" s="283">
        <f t="shared" ref="E30:H30" si="11">(E84)/E$90</f>
        <v>6.0562299267788881E-2</v>
      </c>
      <c r="F30" s="283">
        <f t="shared" si="11"/>
        <v>4.07660946824107E-2</v>
      </c>
      <c r="G30" s="283">
        <f t="shared" si="11"/>
        <v>1.1548358522072612E-2</v>
      </c>
      <c r="H30" s="283">
        <f t="shared" si="11"/>
        <v>-3.7565415906545612E-3</v>
      </c>
      <c r="I30" s="194"/>
      <c r="J30" s="284">
        <f>AVERAGE(D84:INDEX(D84:H84,0,MATCH(Data!$B$3,$D$7:$H$7,0)))/AVERAGE($D$90:INDEX($D$90:$H$90,0,MATCH(Data!$B$3,$D$7:$H$7,0)))</f>
        <v>3.9556797050099839E-2</v>
      </c>
      <c r="K30" s="285">
        <f>AVERAGE(D84:H84)/AVERAGE($D$90:$H$90)</f>
        <v>2.5094637929624637E-2</v>
      </c>
    </row>
    <row r="31" spans="2:11">
      <c r="B31" s="369" t="str">
        <f>GD!B31</f>
        <v>Tax performance - at notional gearing</v>
      </c>
      <c r="C31" s="370" t="s">
        <v>163</v>
      </c>
      <c r="D31" s="282">
        <f>(D86)/D$90</f>
        <v>3.7154407257440954E-3</v>
      </c>
      <c r="E31" s="283">
        <f t="shared" ref="E31:H31" si="12">(E86)/E$90</f>
        <v>-3.3790269651618105E-3</v>
      </c>
      <c r="F31" s="283">
        <f t="shared" si="12"/>
        <v>-6.1984778818931115E-3</v>
      </c>
      <c r="G31" s="283">
        <f t="shared" si="12"/>
        <v>1.2836930048717372E-2</v>
      </c>
      <c r="H31" s="283">
        <f t="shared" si="12"/>
        <v>2.5905828821893712E-3</v>
      </c>
      <c r="I31" s="194"/>
      <c r="J31" s="284">
        <f>AVERAGE(D86:INDEX(D86:H86,0,MATCH(Data!$B$3,$D$7:$H$7,0)))/AVERAGE($D$90:INDEX($D$90:$H$90,0,MATCH(Data!$B$3,$D$7:$H$7,0)))</f>
        <v>-1.9690641021640727E-3</v>
      </c>
      <c r="K31" s="285">
        <f>AVERAGE(D86:H86)/AVERAGE($D$90:$H$90)</f>
        <v>1.9396806727858718E-3</v>
      </c>
    </row>
    <row r="32" spans="2:11">
      <c r="B32" s="372" t="str">
        <f>GD!B32</f>
        <v>RoRE - including financing and tax</v>
      </c>
      <c r="C32" s="370" t="s">
        <v>163</v>
      </c>
      <c r="D32" s="151">
        <f>SUM(D29:D31)</f>
        <v>7.683337166444193E-2</v>
      </c>
      <c r="E32" s="325">
        <f t="shared" ref="E32:H32" si="13">SUM(E29:E31)</f>
        <v>0.10467935634290378</v>
      </c>
      <c r="F32" s="325">
        <f t="shared" si="13"/>
        <v>7.8586722068957254E-2</v>
      </c>
      <c r="G32" s="325">
        <f t="shared" si="13"/>
        <v>5.1472729050435623E-2</v>
      </c>
      <c r="H32" s="325">
        <f t="shared" si="13"/>
        <v>4.156631482254227E-2</v>
      </c>
      <c r="I32" s="287"/>
      <c r="J32" s="151">
        <f>SUM(J29:J31)</f>
        <v>8.6701809628450005E-2</v>
      </c>
      <c r="K32" s="323">
        <f>SUM(K29:K31)</f>
        <v>7.041523094876706E-2</v>
      </c>
    </row>
    <row r="36" spans="2:13">
      <c r="B36" s="366" t="s">
        <v>57</v>
      </c>
      <c r="C36" s="367"/>
      <c r="D36" s="367"/>
      <c r="E36" s="367"/>
      <c r="F36" s="367"/>
      <c r="G36" s="367"/>
      <c r="H36" s="367"/>
      <c r="I36" s="368"/>
      <c r="J36" s="367"/>
      <c r="K36" s="367"/>
      <c r="L36" s="367"/>
    </row>
    <row r="37" spans="2:13">
      <c r="B37" s="147"/>
      <c r="I37" s="345"/>
    </row>
    <row r="38" spans="2:13">
      <c r="B38" s="369" t="str">
        <f>GD!B38</f>
        <v>Allowed Equity Return</v>
      </c>
      <c r="C38" s="370" t="s">
        <v>163</v>
      </c>
      <c r="D38" s="284">
        <f t="shared" ref="D38:H46" si="14">D65/D$91</f>
        <v>5.9855361519158955E-2</v>
      </c>
      <c r="E38" s="371">
        <f t="shared" si="14"/>
        <v>5.4700791001562846E-2</v>
      </c>
      <c r="F38" s="371">
        <f t="shared" si="14"/>
        <v>6.000139996507714E-2</v>
      </c>
      <c r="G38" s="371">
        <f t="shared" si="14"/>
        <v>6.6338365872549376E-2</v>
      </c>
      <c r="H38" s="371">
        <f t="shared" si="14"/>
        <v>6.8528461715978345E-2</v>
      </c>
      <c r="I38" s="194"/>
      <c r="J38" s="284">
        <f>AVERAGE(D65:INDEX(D65:H65,0,MATCH(Data!$B$3,$D$7:$H$7,0)))/AVERAGE($D$91:INDEX($D$91:$H$91,0,MATCH(Data!$B$3,$D$7:$H$7,0)))</f>
        <v>5.8168667013685262E-2</v>
      </c>
      <c r="K38" s="285">
        <f t="shared" ref="K38:K46" si="15">AVERAGE(D65:H65)/AVERAGE($D$91:$H$91)</f>
        <v>6.1915320831719405E-2</v>
      </c>
      <c r="M38" s="374"/>
    </row>
    <row r="39" spans="2:13">
      <c r="B39" s="369" t="str">
        <f>GD!B39</f>
        <v>Totex outperformance</v>
      </c>
      <c r="C39" s="370" t="s">
        <v>163</v>
      </c>
      <c r="D39" s="282">
        <f t="shared" si="14"/>
        <v>1.3792236360830139E-2</v>
      </c>
      <c r="E39" s="283">
        <f t="shared" si="14"/>
        <v>2.8350492913028634E-3</v>
      </c>
      <c r="F39" s="283">
        <f t="shared" si="14"/>
        <v>-9.8168006680322169E-3</v>
      </c>
      <c r="G39" s="283">
        <f t="shared" si="14"/>
        <v>-3.4178691457180173E-2</v>
      </c>
      <c r="H39" s="283">
        <f t="shared" si="14"/>
        <v>-1.5454527721659461E-2</v>
      </c>
      <c r="I39" s="194"/>
      <c r="J39" s="284">
        <f>AVERAGE(D66:INDEX(D66:H66,0,MATCH(Data!$B$3,$D$7:$H$7,0)))/AVERAGE($D$91:INDEX($D$91:$H$91,0,MATCH(Data!$B$3,$D$7:$H$7,0)))</f>
        <v>1.6368913800420858E-3</v>
      </c>
      <c r="K39" s="285">
        <f t="shared" si="15"/>
        <v>-9.1435562499750031E-3</v>
      </c>
    </row>
    <row r="40" spans="2:13">
      <c r="B40" s="369" t="str">
        <f>GD!B40</f>
        <v>Business Plan Incentive</v>
      </c>
      <c r="C40" s="370" t="s">
        <v>163</v>
      </c>
      <c r="D40" s="282">
        <f t="shared" si="14"/>
        <v>0</v>
      </c>
      <c r="E40" s="283">
        <f t="shared" si="14"/>
        <v>0</v>
      </c>
      <c r="F40" s="283">
        <f t="shared" si="14"/>
        <v>0</v>
      </c>
      <c r="G40" s="283">
        <f t="shared" si="14"/>
        <v>0</v>
      </c>
      <c r="H40" s="283">
        <f t="shared" si="14"/>
        <v>0</v>
      </c>
      <c r="I40" s="194"/>
      <c r="J40" s="284">
        <f>AVERAGE(D67:INDEX(D67:H67,0,MATCH(Data!$B$3,$D$7:$H$7,0)))/AVERAGE($D$91:INDEX($D$91:$H$91,0,MATCH(Data!$B$3,$D$7:$H$7,0)))</f>
        <v>0</v>
      </c>
      <c r="K40" s="285">
        <f t="shared" si="15"/>
        <v>0</v>
      </c>
    </row>
    <row r="41" spans="2:13">
      <c r="B41" s="369" t="str">
        <f>GD!B41</f>
        <v>Customer Satisfaction Survey ODI</v>
      </c>
      <c r="C41" s="370" t="s">
        <v>163</v>
      </c>
      <c r="D41" s="282">
        <f t="shared" si="14"/>
        <v>1.2565886195269537E-3</v>
      </c>
      <c r="E41" s="283">
        <f t="shared" si="14"/>
        <v>1.0199122745292481E-3</v>
      </c>
      <c r="F41" s="283">
        <f t="shared" si="14"/>
        <v>1.8150643359209683E-3</v>
      </c>
      <c r="G41" s="283">
        <f t="shared" si="14"/>
        <v>0</v>
      </c>
      <c r="H41" s="283">
        <f t="shared" si="14"/>
        <v>0</v>
      </c>
      <c r="I41" s="194"/>
      <c r="J41" s="284">
        <f>AVERAGE(D68:INDEX(D68:H68,0,MATCH(Data!$B$3,$D$7:$H$7,0)))/AVERAGE($D$91:INDEX($D$91:$H$91,0,MATCH(Data!$B$3,$D$7:$H$7,0)))</f>
        <v>1.3768316135010688E-3</v>
      </c>
      <c r="K41" s="285">
        <f t="shared" si="15"/>
        <v>8.1896500348132076E-4</v>
      </c>
    </row>
    <row r="42" spans="2:13">
      <c r="B42" s="369" t="str">
        <f>GD!B42</f>
        <v>Complaints metric ODI</v>
      </c>
      <c r="C42" s="370" t="s">
        <v>163</v>
      </c>
      <c r="D42" s="282">
        <f t="shared" si="14"/>
        <v>0</v>
      </c>
      <c r="E42" s="283">
        <f t="shared" si="14"/>
        <v>0</v>
      </c>
      <c r="F42" s="283">
        <f t="shared" si="14"/>
        <v>0</v>
      </c>
      <c r="G42" s="283">
        <f t="shared" si="14"/>
        <v>0</v>
      </c>
      <c r="H42" s="283">
        <f t="shared" si="14"/>
        <v>0</v>
      </c>
      <c r="I42" s="194"/>
      <c r="J42" s="284">
        <f>AVERAGE(D69:INDEX(D69:H69,0,MATCH(Data!$B$3,$D$7:$H$7,0)))/AVERAGE($D$91:INDEX($D$91:$H$91,0,MATCH(Data!$B$3,$D$7:$H$7,0)))</f>
        <v>0</v>
      </c>
      <c r="K42" s="285">
        <f t="shared" si="15"/>
        <v>0</v>
      </c>
    </row>
    <row r="43" spans="2:13">
      <c r="B43" s="369" t="str">
        <f>GD!B43</f>
        <v>Unplanned Interruption Mean Duration ODI [NGN, SGN and WWU]</v>
      </c>
      <c r="C43" s="370" t="s">
        <v>163</v>
      </c>
      <c r="D43" s="282">
        <f t="shared" si="14"/>
        <v>0</v>
      </c>
      <c r="E43" s="283">
        <f t="shared" si="14"/>
        <v>-7.8728780559771594E-4</v>
      </c>
      <c r="F43" s="283">
        <f t="shared" si="14"/>
        <v>-1.5459462925586655E-3</v>
      </c>
      <c r="G43" s="283">
        <f t="shared" si="14"/>
        <v>0</v>
      </c>
      <c r="H43" s="283">
        <f t="shared" si="14"/>
        <v>0</v>
      </c>
      <c r="I43" s="194"/>
      <c r="J43" s="284">
        <f>AVERAGE(D70:INDEX(D70:H70,0,MATCH(Data!$B$3,$D$7:$H$7,0)))/AVERAGE($D$91:INDEX($D$91:$H$91,0,MATCH(Data!$B$3,$D$7:$H$7,0)))</f>
        <v>-8.1949397369111138E-4</v>
      </c>
      <c r="K43" s="285">
        <f t="shared" si="15"/>
        <v>-4.8745022879759833E-4</v>
      </c>
    </row>
    <row r="44" spans="2:13">
      <c r="B44" s="369" t="str">
        <f>GD!B44</f>
        <v>Unplanned Interruption Mean Duration ODI [Cadent only]</v>
      </c>
      <c r="C44" s="370" t="s">
        <v>163</v>
      </c>
      <c r="D44" s="282">
        <f t="shared" si="14"/>
        <v>0</v>
      </c>
      <c r="E44" s="283">
        <f t="shared" si="14"/>
        <v>0</v>
      </c>
      <c r="F44" s="283">
        <f t="shared" si="14"/>
        <v>0</v>
      </c>
      <c r="G44" s="283">
        <f t="shared" si="14"/>
        <v>0</v>
      </c>
      <c r="H44" s="283">
        <f t="shared" si="14"/>
        <v>0</v>
      </c>
      <c r="I44" s="194"/>
      <c r="J44" s="284">
        <f>AVERAGE(D71:INDEX(D71:H71,0,MATCH(Data!$B$3,$D$7:$H$7,0)))/AVERAGE($D$91:INDEX($D$91:$H$91,0,MATCH(Data!$B$3,$D$7:$H$7,0)))</f>
        <v>0</v>
      </c>
      <c r="K44" s="285">
        <f t="shared" si="15"/>
        <v>0</v>
      </c>
    </row>
    <row r="45" spans="2:13">
      <c r="B45" s="369" t="str">
        <f>GD!B45</f>
        <v>Shrinkage Management ODI</v>
      </c>
      <c r="C45" s="370" t="s">
        <v>163</v>
      </c>
      <c r="D45" s="282">
        <f t="shared" si="14"/>
        <v>2.4355312362667447E-4</v>
      </c>
      <c r="E45" s="283">
        <f t="shared" si="14"/>
        <v>2.2301687071414231E-4</v>
      </c>
      <c r="F45" s="283">
        <f t="shared" si="14"/>
        <v>1.964741921957666E-4</v>
      </c>
      <c r="G45" s="283">
        <f t="shared" si="14"/>
        <v>0</v>
      </c>
      <c r="H45" s="283">
        <f t="shared" si="14"/>
        <v>0</v>
      </c>
      <c r="I45" s="194"/>
      <c r="J45" s="284">
        <f>AVERAGE(D72:INDEX(D72:H72,0,MATCH(Data!$B$3,$D$7:$H$7,0)))/AVERAGE($D$91:INDEX($D$91:$H$91,0,MATCH(Data!$B$3,$D$7:$H$7,0)))</f>
        <v>2.1975722794349104E-4</v>
      </c>
      <c r="K45" s="285">
        <f t="shared" si="15"/>
        <v>1.3071567879687331E-4</v>
      </c>
    </row>
    <row r="46" spans="2:13">
      <c r="B46" s="369" t="str">
        <f>GD!B46</f>
        <v>Collaborative streetworks ODI [Cadent Lon &amp; EoE, SGN So only]</v>
      </c>
      <c r="C46" s="370" t="s">
        <v>163</v>
      </c>
      <c r="D46" s="282">
        <f t="shared" si="14"/>
        <v>5.4508280305549906E-4</v>
      </c>
      <c r="E46" s="283">
        <f t="shared" si="14"/>
        <v>8.1953167476895336E-4</v>
      </c>
      <c r="F46" s="283">
        <f t="shared" si="14"/>
        <v>6.1736644089085827E-4</v>
      </c>
      <c r="G46" s="283">
        <f t="shared" si="14"/>
        <v>0</v>
      </c>
      <c r="H46" s="283">
        <f t="shared" si="14"/>
        <v>0</v>
      </c>
      <c r="I46" s="194"/>
      <c r="J46" s="284">
        <f>AVERAGE(D73:INDEX(D73:H73,0,MATCH(Data!$B$3,$D$7:$H$7,0)))/AVERAGE($D$91:INDEX($D$91:$H$91,0,MATCH(Data!$B$3,$D$7:$H$7,0)))</f>
        <v>6.6357255391802372E-4</v>
      </c>
      <c r="K46" s="285">
        <f t="shared" si="15"/>
        <v>3.9470527376088708E-4</v>
      </c>
    </row>
    <row r="47" spans="2:13">
      <c r="B47" s="369" t="str">
        <f>GD!B47</f>
        <v>Network innovation input for RORE</v>
      </c>
      <c r="C47" s="370" t="s">
        <v>163</v>
      </c>
      <c r="D47" s="282">
        <f t="shared" ref="D47:H47" si="16">D74/D$91</f>
        <v>-1.3555166803896985E-4</v>
      </c>
      <c r="E47" s="283">
        <f t="shared" si="16"/>
        <v>-1.6959952745379219E-4</v>
      </c>
      <c r="F47" s="283">
        <f t="shared" si="16"/>
        <v>-2.0974561608701211E-4</v>
      </c>
      <c r="G47" s="283">
        <f t="shared" si="16"/>
        <v>0</v>
      </c>
      <c r="H47" s="283">
        <f t="shared" si="16"/>
        <v>0</v>
      </c>
      <c r="I47" s="194"/>
      <c r="J47" s="284">
        <f>AVERAGE(D74:INDEX(D74:H74,0,MATCH(Data!$B$3,$D$7:$H$7,0)))/AVERAGE($D$91:INDEX($D$91:$H$91,0,MATCH(Data!$B$3,$D$7:$H$7,0)))</f>
        <v>-1.7362082997214874E-4</v>
      </c>
      <c r="K47" s="285">
        <f t="shared" ref="K47:K50" si="17">AVERAGE(D74:H74)/AVERAGE($D$91:$H$91)</f>
        <v>-1.0327289279841934E-4</v>
      </c>
    </row>
    <row r="48" spans="2:13">
      <c r="B48" s="369" t="str">
        <f>GD!B48</f>
        <v>Carry-over Network innovation input for RORE</v>
      </c>
      <c r="C48" s="370" t="s">
        <v>163</v>
      </c>
      <c r="D48" s="282">
        <f t="shared" ref="D48:H48" si="18">D75/D$91</f>
        <v>-3.4470679033883491E-5</v>
      </c>
      <c r="E48" s="283">
        <f t="shared" si="18"/>
        <v>0</v>
      </c>
      <c r="F48" s="283">
        <f t="shared" si="18"/>
        <v>0</v>
      </c>
      <c r="G48" s="283">
        <f t="shared" si="18"/>
        <v>0</v>
      </c>
      <c r="H48" s="283">
        <f t="shared" si="18"/>
        <v>0</v>
      </c>
      <c r="I48" s="194"/>
      <c r="J48" s="284">
        <f>AVERAGE(D75:INDEX(D75:H75,0,MATCH(Data!$B$3,$D$7:$H$7,0)))/AVERAGE($D$91:INDEX($D$91:$H$91,0,MATCH(Data!$B$3,$D$7:$H$7,0)))</f>
        <v>-1.0490973295058067E-5</v>
      </c>
      <c r="K48" s="285">
        <f t="shared" si="17"/>
        <v>-6.2402256723770406E-6</v>
      </c>
    </row>
    <row r="49" spans="2:12">
      <c r="B49" s="369" t="str">
        <f>GD!B49</f>
        <v>Strategic innovation input for RORE</v>
      </c>
      <c r="C49" s="370" t="s">
        <v>163</v>
      </c>
      <c r="D49" s="282">
        <f t="shared" ref="D49:H49" si="19">D76/D$91</f>
        <v>0</v>
      </c>
      <c r="E49" s="283">
        <f t="shared" si="19"/>
        <v>0</v>
      </c>
      <c r="F49" s="283">
        <f t="shared" si="19"/>
        <v>0</v>
      </c>
      <c r="G49" s="283">
        <f t="shared" si="19"/>
        <v>0</v>
      </c>
      <c r="H49" s="283">
        <f t="shared" si="19"/>
        <v>0</v>
      </c>
      <c r="I49" s="194"/>
      <c r="J49" s="284">
        <f>AVERAGE(D76:INDEX(D76:H76,0,MATCH(Data!$B$3,$D$7:$H$7,0)))/AVERAGE($D$91:INDEX($D$91:$H$91,0,MATCH(Data!$B$3,$D$7:$H$7,0)))</f>
        <v>0</v>
      </c>
      <c r="K49" s="285">
        <f t="shared" si="17"/>
        <v>0</v>
      </c>
    </row>
    <row r="50" spans="2:12">
      <c r="B50" s="369" t="str">
        <f>GD!B50</f>
        <v>H100 shareholder contribution</v>
      </c>
      <c r="C50" s="370" t="s">
        <v>163</v>
      </c>
      <c r="D50" s="282">
        <f t="shared" ref="D50:H51" si="20">D77/D$91</f>
        <v>-6.7151997176468834E-4</v>
      </c>
      <c r="E50" s="283">
        <f t="shared" si="20"/>
        <v>-6.4330442000701336E-4</v>
      </c>
      <c r="F50" s="283">
        <f t="shared" si="20"/>
        <v>0</v>
      </c>
      <c r="G50" s="283">
        <f t="shared" si="20"/>
        <v>0</v>
      </c>
      <c r="H50" s="283">
        <f t="shared" si="20"/>
        <v>0</v>
      </c>
      <c r="I50" s="194"/>
      <c r="J50" s="284">
        <f>AVERAGE(D77:INDEX(D77:H77,0,MATCH(Data!$B$3,$D$7:$H$7,0)))/AVERAGE($D$91:INDEX($D$91:$H$91,0,MATCH(Data!$B$3,$D$7:$H$7,0)))</f>
        <v>-4.2140773339686483E-4</v>
      </c>
      <c r="K50" s="285">
        <f t="shared" si="17"/>
        <v>-2.5066114291989348E-4</v>
      </c>
    </row>
    <row r="51" spans="2:12">
      <c r="B51" s="369" t="str">
        <f>GD!B51</f>
        <v>LTS shareholder contribution</v>
      </c>
      <c r="C51" s="370" t="s">
        <v>163</v>
      </c>
      <c r="D51" s="282">
        <f t="shared" si="20"/>
        <v>0</v>
      </c>
      <c r="E51" s="283">
        <f t="shared" si="20"/>
        <v>-2.8639971913968298E-4</v>
      </c>
      <c r="F51" s="283">
        <f t="shared" si="20"/>
        <v>0</v>
      </c>
      <c r="G51" s="283">
        <f t="shared" si="20"/>
        <v>0</v>
      </c>
      <c r="H51" s="283">
        <f t="shared" si="20"/>
        <v>0</v>
      </c>
      <c r="I51" s="194"/>
      <c r="J51" s="284">
        <f>AVERAGE(D78:INDEX(D78:H78,0,MATCH(Data!$B$3,$D$7:$H$7,0)))/AVERAGE($D$91:INDEX($D$91:$H$91,0,MATCH(Data!$B$3,$D$7:$H$7,0)))</f>
        <v>-9.6623778617476429E-5</v>
      </c>
      <c r="K51" s="285">
        <f t="shared" ref="K51" si="21">AVERAGE(D78:H78)/AVERAGE($D$91:$H$91)</f>
        <v>-5.7473617264366028E-5</v>
      </c>
    </row>
    <row r="52" spans="2:12">
      <c r="B52" s="369" t="str">
        <f>GD!B52</f>
        <v/>
      </c>
      <c r="C52" s="370" t="s">
        <v>163</v>
      </c>
      <c r="D52" s="282"/>
      <c r="E52" s="283"/>
      <c r="F52" s="283"/>
      <c r="G52" s="283"/>
      <c r="H52" s="283"/>
      <c r="I52" s="194"/>
      <c r="J52" s="284"/>
      <c r="K52" s="285"/>
    </row>
    <row r="53" spans="2:12">
      <c r="B53" s="369" t="str">
        <f>GD!B53</f>
        <v/>
      </c>
      <c r="C53" s="370" t="s">
        <v>163</v>
      </c>
      <c r="D53" s="282"/>
      <c r="E53" s="283"/>
      <c r="F53" s="283"/>
      <c r="G53" s="283"/>
      <c r="H53" s="283"/>
      <c r="I53" s="194"/>
      <c r="J53" s="284"/>
      <c r="K53" s="285"/>
    </row>
    <row r="54" spans="2:12">
      <c r="B54" s="369" t="str">
        <f>GD!B54</f>
        <v/>
      </c>
      <c r="C54" s="370" t="s">
        <v>163</v>
      </c>
      <c r="D54" s="282"/>
      <c r="E54" s="283"/>
      <c r="F54" s="283"/>
      <c r="G54" s="283"/>
      <c r="H54" s="283"/>
      <c r="I54" s="194"/>
      <c r="J54" s="284"/>
      <c r="K54" s="285"/>
    </row>
    <row r="55" spans="2:12">
      <c r="B55" s="369" t="str">
        <f>GD!B55</f>
        <v>Penalties and fines (Other Activities)</v>
      </c>
      <c r="C55" s="370" t="s">
        <v>163</v>
      </c>
      <c r="D55" s="282">
        <f>D82/D$91</f>
        <v>-8.2204486777408443E-4</v>
      </c>
      <c r="E55" s="283">
        <f t="shared" ref="E55:H55" si="22">E82/E$91</f>
        <v>-6.9653715369931489E-4</v>
      </c>
      <c r="F55" s="283">
        <f t="shared" si="22"/>
        <v>-1.0670726670955664E-3</v>
      </c>
      <c r="G55" s="283">
        <f t="shared" si="22"/>
        <v>0</v>
      </c>
      <c r="H55" s="283">
        <f t="shared" si="22"/>
        <v>0</v>
      </c>
      <c r="I55" s="194"/>
      <c r="J55" s="284">
        <f>AVERAGE(D82:INDEX(D82:H82,0,MATCH(Data!$B$3,$D$7:$H$7,0)))/AVERAGE($D$91:INDEX($D$91:$H$91,0,MATCH(Data!$B$3,$D$7:$H$7,0)))</f>
        <v>-8.6749072446562112E-4</v>
      </c>
      <c r="K55" s="285">
        <f>AVERAGE(D82:H82)/AVERAGE($D$91:$H$91)</f>
        <v>-5.1599958717932898E-4</v>
      </c>
    </row>
    <row r="56" spans="2:12">
      <c r="B56" s="372" t="str">
        <f>GD!B56</f>
        <v>RoRE - Operational performance</v>
      </c>
      <c r="C56" s="370" t="s">
        <v>163</v>
      </c>
      <c r="D56" s="324">
        <f>SUM(D38:D55)</f>
        <v>7.4029235239586599E-2</v>
      </c>
      <c r="E56" s="373">
        <f>SUM(E38:E55)</f>
        <v>5.7015172486980528E-2</v>
      </c>
      <c r="F56" s="373">
        <f>SUM(F38:F55)</f>
        <v>4.999073969031128E-2</v>
      </c>
      <c r="G56" s="373">
        <f>SUM(G38:G55)</f>
        <v>3.2159674415369204E-2</v>
      </c>
      <c r="H56" s="373">
        <f>SUM(H38:H55)</f>
        <v>5.3073933994318881E-2</v>
      </c>
      <c r="I56" s="287"/>
      <c r="J56" s="151">
        <f>SUM(J38:J55)</f>
        <v>5.9676591775651662E-2</v>
      </c>
      <c r="K56" s="323">
        <f>SUM(K38:K55)</f>
        <v>5.2695052843151499E-2</v>
      </c>
    </row>
    <row r="57" spans="2:12">
      <c r="B57" s="369" t="str">
        <f>GD!B57</f>
        <v>Debt performance - at actual gearing</v>
      </c>
      <c r="C57" s="370" t="s">
        <v>163</v>
      </c>
      <c r="D57" s="282">
        <f>(D84+D85)/D$91</f>
        <v>1.9867107415233235E-2</v>
      </c>
      <c r="E57" s="283">
        <f t="shared" ref="E57:H57" si="23">(E84+E85)/E$91</f>
        <v>7.6961207057325898E-2</v>
      </c>
      <c r="F57" s="283">
        <f t="shared" si="23"/>
        <v>4.7262654530400149E-2</v>
      </c>
      <c r="G57" s="283">
        <f t="shared" si="23"/>
        <v>1.1199101747086354E-2</v>
      </c>
      <c r="H57" s="283">
        <f t="shared" si="23"/>
        <v>-1.0869586257888302E-2</v>
      </c>
      <c r="I57" s="194"/>
      <c r="J57" s="284">
        <f>(AVERAGE(D84:INDEX(D84:H84,0,MATCH(Data!$B$3,$D$7:$H$7,0)))+AVERAGE(D85:INDEX(D85:H85,0,MATCH(Data!$B$3,$D$7:$H$7,0))))/AVERAGE($D$91:INDEX($D$91:$H$91,0,MATCH(Data!$B$3,$D$7:$H$7,0)))</f>
        <v>4.8944476415857481E-2</v>
      </c>
      <c r="K57" s="285">
        <f>(AVERAGE(D84:H84)+AVERAGE(D85:H85))/AVERAGE($D$91:$H$91)</f>
        <v>2.9252891028402263E-2</v>
      </c>
    </row>
    <row r="58" spans="2:12">
      <c r="B58" s="369" t="str">
        <f>GD!B58</f>
        <v>Tax performance - at actual gearing</v>
      </c>
      <c r="C58" s="370" t="s">
        <v>163</v>
      </c>
      <c r="D58" s="282">
        <f>(D86+D87)/D$91</f>
        <v>5.4859500357246791E-3</v>
      </c>
      <c r="E58" s="283">
        <f t="shared" ref="E58:H58" si="24">(E86+E87)/E$91</f>
        <v>-4.8658569140791622E-3</v>
      </c>
      <c r="F58" s="283">
        <f t="shared" si="24"/>
        <v>-7.2809210162390553E-3</v>
      </c>
      <c r="G58" s="283">
        <f t="shared" si="24"/>
        <v>1.586863119120259E-2</v>
      </c>
      <c r="H58" s="283">
        <f t="shared" si="24"/>
        <v>4.7685117415104021E-3</v>
      </c>
      <c r="I58" s="194"/>
      <c r="J58" s="284">
        <f>(AVERAGE(D86:INDEX(D86:H86,0,MATCH(Data!$B$3,$D$7:$H$7,0)))+AVERAGE(D87:INDEX(D87:H87,0,MATCH(Data!$B$3,$D$7:$H$7,0))))/AVERAGE($D$91:INDEX($D$91:$H$91,0,MATCH(Data!$B$3,$D$7:$H$7,0)))</f>
        <v>-2.5806101915193517E-3</v>
      </c>
      <c r="K58" s="285">
        <f>(AVERAGE(D86:H86)+AVERAGE(D87:H87))/AVERAGE($D$91:$H$91)</f>
        <v>2.682642012055821E-3</v>
      </c>
    </row>
    <row r="59" spans="2:12">
      <c r="B59" s="372" t="str">
        <f>GD!B59</f>
        <v>RoRE - including financing and tax</v>
      </c>
      <c r="C59" s="370" t="s">
        <v>163</v>
      </c>
      <c r="D59" s="151">
        <f>SUM(D56:D58)</f>
        <v>9.9382292690544508E-2</v>
      </c>
      <c r="E59" s="325">
        <f t="shared" ref="E59:H59" si="25">SUM(E56:E58)</f>
        <v>0.12911052263022724</v>
      </c>
      <c r="F59" s="325">
        <f t="shared" si="25"/>
        <v>8.9972473204472367E-2</v>
      </c>
      <c r="G59" s="325">
        <f t="shared" si="25"/>
        <v>5.9227407353658147E-2</v>
      </c>
      <c r="H59" s="325">
        <f t="shared" si="25"/>
        <v>4.6972859477940984E-2</v>
      </c>
      <c r="I59" s="287"/>
      <c r="J59" s="151">
        <f>SUM(J56:J58)</f>
        <v>0.10604045799998979</v>
      </c>
      <c r="K59" s="323">
        <f>SUM(K56:K58)</f>
        <v>8.4630585883609596E-2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tr">
        <f>GD!B62</f>
        <v>RoRE input values</v>
      </c>
      <c r="C62" s="379"/>
      <c r="D62" s="380"/>
      <c r="E62" s="380"/>
      <c r="F62" s="380"/>
      <c r="G62" s="380"/>
      <c r="H62" s="380"/>
      <c r="I62" s="381"/>
      <c r="J62" s="380"/>
      <c r="K62" s="380"/>
      <c r="L62" s="367"/>
    </row>
    <row r="63" spans="2:12">
      <c r="B63" s="382" t="str">
        <f>GD!B63</f>
        <v>Input values provided in £m 18/19 prices</v>
      </c>
      <c r="C63" s="383"/>
      <c r="D63" s="383"/>
      <c r="E63" s="383"/>
      <c r="F63" s="383"/>
      <c r="G63" s="383"/>
      <c r="H63" s="383"/>
      <c r="I63" s="383"/>
      <c r="J63" s="383"/>
      <c r="K63" s="383"/>
      <c r="L63" s="383"/>
    </row>
    <row r="65" spans="2:11">
      <c r="B65" s="308" t="str">
        <f>GD!B65</f>
        <v>Equity Return on the RAV</v>
      </c>
      <c r="C65" s="384" t="str">
        <f>GD!C65</f>
        <v>£m 18/19</v>
      </c>
      <c r="D65" s="385">
        <v>100.47584602380886</v>
      </c>
      <c r="E65" s="385">
        <v>101.78826376771974</v>
      </c>
      <c r="F65" s="385">
        <v>118.57092175558527</v>
      </c>
      <c r="G65" s="385">
        <v>126.65756674239881</v>
      </c>
      <c r="H65" s="385">
        <v>126.6321710222186</v>
      </c>
      <c r="J65" s="385">
        <v>320.83503154711389</v>
      </c>
      <c r="K65" s="385">
        <v>574.12476931173126</v>
      </c>
    </row>
    <row r="66" spans="2:11">
      <c r="B66" s="308" t="str">
        <f>GD!B66</f>
        <v>Totex outperformance</v>
      </c>
      <c r="C66" s="384" t="str">
        <f>GD!C66</f>
        <v>£m 18/19</v>
      </c>
      <c r="D66" s="385">
        <v>23.15225539939599</v>
      </c>
      <c r="E66" s="385">
        <v>5.2755132014339239</v>
      </c>
      <c r="F66" s="385">
        <v>-19.399332425191837</v>
      </c>
      <c r="G66" s="385">
        <v>-65.256203366881195</v>
      </c>
      <c r="H66" s="385">
        <v>-28.558066947831229</v>
      </c>
      <c r="J66" s="385">
        <v>9.0284361756380846</v>
      </c>
      <c r="K66" s="385">
        <v>-84.785834139074339</v>
      </c>
    </row>
    <row r="67" spans="2:11">
      <c r="B67" s="308" t="str">
        <f>GD!B67</f>
        <v>Business Plan Incentive</v>
      </c>
      <c r="C67" s="384" t="str">
        <f>GD!C67</f>
        <v>£m 18/19</v>
      </c>
      <c r="D67" s="385">
        <v>0</v>
      </c>
      <c r="E67" s="385">
        <v>0</v>
      </c>
      <c r="F67" s="385">
        <v>0</v>
      </c>
      <c r="G67" s="385">
        <v>0</v>
      </c>
      <c r="H67" s="385">
        <v>0</v>
      </c>
      <c r="J67" s="385">
        <v>0</v>
      </c>
      <c r="K67" s="385">
        <v>0</v>
      </c>
    </row>
    <row r="68" spans="2:11">
      <c r="B68" s="386" t="str">
        <f>GD!B68</f>
        <v>Customer Satisfaction Survey ODI</v>
      </c>
      <c r="C68" s="384" t="str">
        <f>GD!C68</f>
        <v>£m 18/19</v>
      </c>
      <c r="D68" s="385">
        <v>2.1093649999999999</v>
      </c>
      <c r="E68" s="385">
        <v>1.897872</v>
      </c>
      <c r="F68" s="385">
        <v>3.5868138323622492</v>
      </c>
      <c r="G68" s="385">
        <v>0</v>
      </c>
      <c r="H68" s="385">
        <v>0</v>
      </c>
      <c r="J68" s="385">
        <v>7.5940508323622486</v>
      </c>
      <c r="K68" s="385">
        <v>7.5940508323622486</v>
      </c>
    </row>
    <row r="69" spans="2:11">
      <c r="B69" s="386" t="str">
        <f>GD!B69</f>
        <v>Complaints metric ODI</v>
      </c>
      <c r="C69" s="384" t="str">
        <f>GD!C69</f>
        <v>£m 18/19</v>
      </c>
      <c r="D69" s="385">
        <v>0</v>
      </c>
      <c r="E69" s="385">
        <v>0</v>
      </c>
      <c r="F69" s="385">
        <v>0</v>
      </c>
      <c r="G69" s="385">
        <v>0</v>
      </c>
      <c r="H69" s="385">
        <v>0</v>
      </c>
      <c r="J69" s="385">
        <v>0</v>
      </c>
      <c r="K69" s="385">
        <v>0</v>
      </c>
    </row>
    <row r="70" spans="2:11">
      <c r="B70" s="386" t="str">
        <f>GD!B70</f>
        <v>Unplanned Interruption Mean Duration ODI [NGN, SGN and WWU]</v>
      </c>
      <c r="C70" s="384" t="str">
        <f>GD!C70</f>
        <v>£m 18/19</v>
      </c>
      <c r="D70" s="385">
        <v>0</v>
      </c>
      <c r="E70" s="385">
        <v>-1.4650000000000001</v>
      </c>
      <c r="F70" s="385">
        <v>-3.0550000000000002</v>
      </c>
      <c r="G70" s="385">
        <v>0</v>
      </c>
      <c r="H70" s="385">
        <v>0</v>
      </c>
      <c r="J70" s="385">
        <v>-4.5200000000000005</v>
      </c>
      <c r="K70" s="385">
        <v>-4.5200000000000005</v>
      </c>
    </row>
    <row r="71" spans="2:11">
      <c r="B71" s="386" t="str">
        <f>GD!B71</f>
        <v>Unplanned Interruption Mean Duration ODI [Cadent only]</v>
      </c>
      <c r="C71" s="384" t="str">
        <f>GD!C71</f>
        <v>£m 18/19</v>
      </c>
      <c r="D71" s="385">
        <v>0</v>
      </c>
      <c r="E71" s="385">
        <v>0</v>
      </c>
      <c r="F71" s="385">
        <v>0</v>
      </c>
      <c r="G71" s="385">
        <v>0</v>
      </c>
      <c r="H71" s="385">
        <v>0</v>
      </c>
      <c r="J71" s="385">
        <v>0</v>
      </c>
      <c r="K71" s="385">
        <v>0</v>
      </c>
    </row>
    <row r="72" spans="2:11">
      <c r="B72" s="386" t="str">
        <f>GD!B72</f>
        <v>Shrinkage Management ODI</v>
      </c>
      <c r="C72" s="384" t="str">
        <f>GD!C72</f>
        <v>£m 18/19</v>
      </c>
      <c r="D72" s="385">
        <v>0.40883899999999995</v>
      </c>
      <c r="E72" s="385">
        <v>0.41499399999999997</v>
      </c>
      <c r="F72" s="385">
        <v>0.38825970866338455</v>
      </c>
      <c r="G72" s="385">
        <v>0</v>
      </c>
      <c r="H72" s="385">
        <v>0</v>
      </c>
      <c r="J72" s="385">
        <v>1.2120927086633846</v>
      </c>
      <c r="K72" s="385">
        <v>1.2120927086633846</v>
      </c>
    </row>
    <row r="73" spans="2:11">
      <c r="B73" s="308" t="str">
        <f>GD!B73</f>
        <v>Collaborative streetworks ODI [Cadent Lon &amp; EoE, SGN So only]</v>
      </c>
      <c r="C73" s="384" t="str">
        <f>GD!C73</f>
        <v>£m 18/19</v>
      </c>
      <c r="D73" s="385">
        <v>0.91500000000000004</v>
      </c>
      <c r="E73" s="385">
        <v>1.5249999999999999</v>
      </c>
      <c r="F73" s="385">
        <v>1.22</v>
      </c>
      <c r="G73" s="385">
        <v>0</v>
      </c>
      <c r="H73" s="385">
        <v>0</v>
      </c>
      <c r="J73" s="385">
        <v>3.66</v>
      </c>
      <c r="K73" s="385">
        <v>3.66</v>
      </c>
    </row>
    <row r="74" spans="2:11">
      <c r="B74" s="308" t="str">
        <f>GD!B74</f>
        <v>Network innovation input for RORE</v>
      </c>
      <c r="C74" s="384" t="str">
        <f>GD!C74</f>
        <v>£m 18/19</v>
      </c>
      <c r="D74" s="385">
        <v>-0.227543</v>
      </c>
      <c r="E74" s="385">
        <v>-0.31559399999999999</v>
      </c>
      <c r="F74" s="385">
        <v>-0.41448584613200978</v>
      </c>
      <c r="G74" s="385">
        <v>0</v>
      </c>
      <c r="H74" s="385">
        <v>0</v>
      </c>
      <c r="J74" s="385">
        <v>-0.95762284613200976</v>
      </c>
      <c r="K74" s="385">
        <v>-0.95762284613200976</v>
      </c>
    </row>
    <row r="75" spans="2:11">
      <c r="B75" s="308" t="str">
        <f>GD!B75</f>
        <v>Carry-over Network innovation input for RORE</v>
      </c>
      <c r="C75" s="384" t="str">
        <f>GD!C75</f>
        <v>£m 18/19</v>
      </c>
      <c r="D75" s="385">
        <v>-5.7863999999999999E-2</v>
      </c>
      <c r="E75" s="385">
        <v>0</v>
      </c>
      <c r="F75" s="385">
        <v>0</v>
      </c>
      <c r="G75" s="385">
        <v>0</v>
      </c>
      <c r="H75" s="385">
        <v>0</v>
      </c>
      <c r="J75" s="385">
        <v>-5.7863999999999999E-2</v>
      </c>
      <c r="K75" s="385">
        <v>-5.7863999999999999E-2</v>
      </c>
    </row>
    <row r="76" spans="2:11">
      <c r="B76" s="308" t="str">
        <f>GD!B76</f>
        <v>Strategic innovation input for RORE</v>
      </c>
      <c r="C76" s="384" t="str">
        <f>GD!C76</f>
        <v>£m 18/19</v>
      </c>
      <c r="D76" s="385">
        <v>0</v>
      </c>
      <c r="E76" s="385">
        <v>0</v>
      </c>
      <c r="F76" s="385">
        <v>0</v>
      </c>
      <c r="G76" s="385">
        <v>0</v>
      </c>
      <c r="H76" s="385">
        <v>0</v>
      </c>
      <c r="J76" s="385">
        <v>0</v>
      </c>
      <c r="K76" s="385">
        <v>0</v>
      </c>
    </row>
    <row r="77" spans="2:11">
      <c r="B77" s="308" t="str">
        <f>GD!B77</f>
        <v>H100 shareholder contribution</v>
      </c>
      <c r="C77" s="384" t="str">
        <f>GD!C77</f>
        <v>£m 18/19</v>
      </c>
      <c r="D77" s="385">
        <v>-1.127243</v>
      </c>
      <c r="E77" s="385">
        <v>-1.1970730000000001</v>
      </c>
      <c r="F77" s="385">
        <v>0</v>
      </c>
      <c r="G77" s="385">
        <v>0</v>
      </c>
      <c r="H77" s="385">
        <v>0</v>
      </c>
      <c r="J77" s="385">
        <v>-2.324316</v>
      </c>
      <c r="K77" s="385">
        <v>-2.324316</v>
      </c>
    </row>
    <row r="78" spans="2:11">
      <c r="B78" s="308" t="str">
        <f>GD!B78</f>
        <v>LTS shareholder contribution</v>
      </c>
      <c r="C78" s="384" t="str">
        <f>GD!C78</f>
        <v>£m 18/19</v>
      </c>
      <c r="D78" s="385">
        <v>0</v>
      </c>
      <c r="E78" s="385">
        <v>-0.53293800000000002</v>
      </c>
      <c r="F78" s="385">
        <v>0</v>
      </c>
      <c r="G78" s="385">
        <v>0</v>
      </c>
      <c r="H78" s="385">
        <v>0</v>
      </c>
      <c r="J78" s="385">
        <v>-0.53293800000000002</v>
      </c>
      <c r="K78" s="385">
        <v>-0.53293800000000002</v>
      </c>
    </row>
    <row r="79" spans="2:11">
      <c r="B79" s="308" t="str">
        <f>GD!B79</f>
        <v/>
      </c>
      <c r="C79" s="384" t="str">
        <f>GD!C79</f>
        <v>£m 18/19</v>
      </c>
      <c r="D79" s="385">
        <v>0</v>
      </c>
      <c r="E79" s="385">
        <v>0</v>
      </c>
      <c r="F79" s="385">
        <v>0</v>
      </c>
      <c r="G79" s="385">
        <v>0</v>
      </c>
      <c r="H79" s="385">
        <v>0</v>
      </c>
      <c r="J79" s="385">
        <v>0</v>
      </c>
      <c r="K79" s="385">
        <v>0</v>
      </c>
    </row>
    <row r="80" spans="2:11">
      <c r="B80" s="308" t="str">
        <f>GD!B80</f>
        <v/>
      </c>
      <c r="C80" s="384" t="str">
        <f>GD!C80</f>
        <v>£m 18/19</v>
      </c>
      <c r="D80" s="385">
        <v>0</v>
      </c>
      <c r="E80" s="385">
        <v>0</v>
      </c>
      <c r="F80" s="385">
        <v>0</v>
      </c>
      <c r="G80" s="385">
        <v>0</v>
      </c>
      <c r="H80" s="385">
        <v>0</v>
      </c>
      <c r="J80" s="385">
        <v>0</v>
      </c>
      <c r="K80" s="385">
        <v>0</v>
      </c>
    </row>
    <row r="81" spans="2:13">
      <c r="B81" s="308" t="str">
        <f>GD!B81</f>
        <v/>
      </c>
      <c r="C81" s="384" t="str">
        <f>GD!C81</f>
        <v>£m 18/19</v>
      </c>
      <c r="D81" s="385">
        <v>0</v>
      </c>
      <c r="E81" s="385">
        <v>0</v>
      </c>
      <c r="F81" s="385">
        <v>0</v>
      </c>
      <c r="G81" s="385">
        <v>0</v>
      </c>
      <c r="H81" s="385">
        <v>0</v>
      </c>
      <c r="J81" s="385">
        <v>0</v>
      </c>
      <c r="K81" s="385">
        <v>0</v>
      </c>
    </row>
    <row r="82" spans="2:13">
      <c r="B82" s="308" t="str">
        <f>GD!B82</f>
        <v>Penalties and fines (Other Activities)</v>
      </c>
      <c r="C82" s="384" t="str">
        <f>GD!C82</f>
        <v>£m 18/19</v>
      </c>
      <c r="D82" s="385">
        <v>-1.3799207199290473</v>
      </c>
      <c r="E82" s="385">
        <v>-1.2961294750333128</v>
      </c>
      <c r="F82" s="385">
        <v>-2.1086806273079168</v>
      </c>
      <c r="G82" s="385">
        <v>0</v>
      </c>
      <c r="H82" s="385">
        <v>0</v>
      </c>
      <c r="J82" s="385">
        <v>-4.7847308222702765</v>
      </c>
      <c r="K82" s="385">
        <v>-4.7847308222702765</v>
      </c>
    </row>
    <row r="83" spans="2:13">
      <c r="B83" s="306" t="str">
        <f>GD!B83</f>
        <v>RoRE - Operational performance</v>
      </c>
      <c r="C83" s="384" t="str">
        <f>GD!C83</f>
        <v>£m 18/19</v>
      </c>
      <c r="D83" s="387">
        <v>124.26873470327581</v>
      </c>
      <c r="E83" s="387">
        <v>106.09490849412032</v>
      </c>
      <c r="F83" s="387">
        <v>98.788496397979145</v>
      </c>
      <c r="G83" s="387">
        <v>61.401363375517612</v>
      </c>
      <c r="H83" s="387">
        <v>98.074104074387378</v>
      </c>
      <c r="I83" s="177"/>
      <c r="J83" s="387">
        <v>329.15213959537527</v>
      </c>
      <c r="K83" s="387">
        <v>488.62760704528023</v>
      </c>
    </row>
    <row r="84" spans="2:13">
      <c r="B84" s="308" t="str">
        <f>GD!B84</f>
        <v>Debt performance - at notional gearing</v>
      </c>
      <c r="C84" s="384" t="str">
        <f>GD!C84</f>
        <v>£m 18/19</v>
      </c>
      <c r="D84" s="385">
        <v>38.331533545319118</v>
      </c>
      <c r="E84" s="385">
        <v>135.2817127736445</v>
      </c>
      <c r="F84" s="385">
        <v>91.488029416636039</v>
      </c>
      <c r="G84" s="385">
        <v>26.177628651823525</v>
      </c>
      <c r="H84" s="385">
        <v>-8.6215738241562789</v>
      </c>
      <c r="J84" s="385">
        <v>265.10127573559964</v>
      </c>
      <c r="K84" s="385">
        <v>282.6573305632669</v>
      </c>
      <c r="M84" s="406"/>
    </row>
    <row r="85" spans="2:13">
      <c r="B85" s="308" t="str">
        <f>GD!B85</f>
        <v>Debt performance - impact of actual gearing</v>
      </c>
      <c r="C85" s="384" t="str">
        <f>GD!C85</f>
        <v>£m 18/19</v>
      </c>
      <c r="D85" s="385">
        <v>-4.981732041697791</v>
      </c>
      <c r="E85" s="385">
        <v>7.9291531096179</v>
      </c>
      <c r="F85" s="385">
        <v>1.9093999024638251</v>
      </c>
      <c r="G85" s="385">
        <v>-4.7955677835823334</v>
      </c>
      <c r="H85" s="385">
        <v>-11.464085060971339</v>
      </c>
      <c r="J85" s="385">
        <v>4.856820970383934</v>
      </c>
      <c r="K85" s="385">
        <v>-11.402831874169738</v>
      </c>
    </row>
    <row r="86" spans="2:13">
      <c r="B86" s="308" t="str">
        <f>GD!B86</f>
        <v>Tax performance - at notional gearing</v>
      </c>
      <c r="C86" s="384" t="str">
        <f>GD!C86</f>
        <v>£m 18/19</v>
      </c>
      <c r="D86" s="385">
        <v>8.2624282568149905</v>
      </c>
      <c r="E86" s="385">
        <v>-7.5479392440859208</v>
      </c>
      <c r="F86" s="385">
        <v>-13.910739579420273</v>
      </c>
      <c r="G86" s="385">
        <v>29.098541338362281</v>
      </c>
      <c r="H86" s="385">
        <v>5.9456020990039011</v>
      </c>
      <c r="J86" s="385">
        <v>-13.196250566691203</v>
      </c>
      <c r="K86" s="385">
        <v>21.847892870674979</v>
      </c>
    </row>
    <row r="87" spans="2:13">
      <c r="B87" s="308" t="str">
        <f>GD!B87</f>
        <v>Tax performance - impact of actual gearing</v>
      </c>
      <c r="C87" s="384" t="str">
        <f>GD!C87</f>
        <v>£m 18/19</v>
      </c>
      <c r="D87" s="385">
        <v>0.94652908792258206</v>
      </c>
      <c r="E87" s="385">
        <v>-1.5065390908274043</v>
      </c>
      <c r="F87" s="385">
        <v>-0.47734997561595449</v>
      </c>
      <c r="G87" s="385">
        <v>1.198891945895582</v>
      </c>
      <c r="H87" s="385">
        <v>2.8660212652428338</v>
      </c>
      <c r="J87" s="385">
        <v>-1.0373599785207768</v>
      </c>
      <c r="K87" s="385">
        <v>3.0275532326176391</v>
      </c>
    </row>
    <row r="88" spans="2:13">
      <c r="B88" s="306" t="str">
        <f>GD!B88</f>
        <v>RoRE - including financing and tax</v>
      </c>
      <c r="C88" s="384" t="str">
        <f>GD!C88</f>
        <v>£m 18/19</v>
      </c>
      <c r="D88" s="387">
        <v>166.82749355163472</v>
      </c>
      <c r="E88" s="387">
        <v>240.25129604246939</v>
      </c>
      <c r="F88" s="387">
        <v>177.79783616204278</v>
      </c>
      <c r="G88" s="387">
        <v>113.08085752801667</v>
      </c>
      <c r="H88" s="387">
        <v>86.800068553506492</v>
      </c>
      <c r="I88" s="177"/>
      <c r="J88" s="387">
        <v>584.87662575614695</v>
      </c>
      <c r="K88" s="387">
        <v>784.75755183767001</v>
      </c>
    </row>
    <row r="89" spans="2:13">
      <c r="C89" s="388"/>
    </row>
    <row r="90" spans="2:13">
      <c r="B90" s="308" t="str">
        <f>GD!B90</f>
        <v>NPV-neutral equity RAV based on notional gearing</v>
      </c>
      <c r="C90" s="384" t="str">
        <f>GD!C90</f>
        <v>£m 18/19</v>
      </c>
      <c r="D90" s="385">
        <v>2223.808389557948</v>
      </c>
      <c r="E90" s="385">
        <v>2233.761175008698</v>
      </c>
      <c r="F90" s="385">
        <v>2244.2186363294268</v>
      </c>
      <c r="G90" s="385">
        <v>2266.7835088241927</v>
      </c>
      <c r="H90" s="385">
        <v>2295.0827552674605</v>
      </c>
    </row>
    <row r="91" spans="2:13">
      <c r="B91" s="308" t="str">
        <f>GD!B91</f>
        <v>Equity RAV based on actual gearing</v>
      </c>
      <c r="C91" s="384" t="str">
        <f>GD!C91</f>
        <v>£m 18/19</v>
      </c>
      <c r="D91" s="385">
        <v>1678.6440424664011</v>
      </c>
      <c r="E91" s="385">
        <v>1860.8188639321791</v>
      </c>
      <c r="F91" s="385">
        <v>1976.1359205718131</v>
      </c>
      <c r="G91" s="385">
        <v>1909.2657028322933</v>
      </c>
      <c r="H91" s="385">
        <v>1847.8770404486195</v>
      </c>
    </row>
    <row r="94" spans="2:13">
      <c r="B94" s="306" t="s">
        <v>190</v>
      </c>
      <c r="D94" s="307" t="str">
        <f>GD!D94</f>
        <v>Actuals</v>
      </c>
      <c r="E94" s="307" t="str">
        <f>GD!E94</f>
        <v>Actuals</v>
      </c>
      <c r="F94" s="307" t="str">
        <f>GD!F94</f>
        <v>Actuals</v>
      </c>
      <c r="G94" s="307" t="str">
        <f>GD!G94</f>
        <v>Forecast</v>
      </c>
      <c r="H94" s="307" t="str">
        <f>GD!H94</f>
        <v>Forecast</v>
      </c>
    </row>
    <row r="95" spans="2:13" ht="22.8">
      <c r="D95" s="309">
        <f>GD!D95</f>
        <v>2022</v>
      </c>
      <c r="E95" s="309">
        <f>GD!E95</f>
        <v>2023</v>
      </c>
      <c r="F95" s="309">
        <f>GD!F95</f>
        <v>2024</v>
      </c>
      <c r="G95" s="309">
        <f>GD!G95</f>
        <v>2025</v>
      </c>
      <c r="H95" s="309">
        <f>GD!H95</f>
        <v>2026</v>
      </c>
      <c r="J95" s="310" t="str">
        <f>GD!J95</f>
        <v>Cumulative to 2024</v>
      </c>
      <c r="K95" s="310" t="str">
        <f>GD!K95</f>
        <v>RIIO-2 period</v>
      </c>
    </row>
    <row r="96" spans="2:13">
      <c r="B96" s="308" t="s">
        <v>154</v>
      </c>
      <c r="C96" s="384" t="str">
        <f>GD!C96</f>
        <v>£m 18/19</v>
      </c>
      <c r="D96" s="337">
        <f>SUM(D105,D114)</f>
        <v>456.56102915156566</v>
      </c>
      <c r="E96" s="337">
        <f t="shared" ref="E96:H97" si="26">SUM(E105,E114)</f>
        <v>513.12331651330499</v>
      </c>
      <c r="F96" s="337">
        <f t="shared" si="26"/>
        <v>619.41688858153498</v>
      </c>
      <c r="G96" s="337">
        <f t="shared" si="26"/>
        <v>728.9047832930529</v>
      </c>
      <c r="H96" s="337">
        <f t="shared" si="26"/>
        <v>641.92099398728942</v>
      </c>
      <c r="I96" s="308"/>
      <c r="J96" s="337">
        <f>SUM(J105,J114)</f>
        <v>1589.1012342464055</v>
      </c>
      <c r="K96" s="337">
        <f>SUM(K105,K114)</f>
        <v>2959.9270115267482</v>
      </c>
    </row>
    <row r="97" spans="2:11" ht="22.8">
      <c r="B97" s="312" t="s">
        <v>155</v>
      </c>
      <c r="C97" s="384" t="str">
        <f>GD!C97</f>
        <v>£m 18/19</v>
      </c>
      <c r="D97" s="337">
        <f>SUM(D106,D115)</f>
        <v>546.31987482617387</v>
      </c>
      <c r="E97" s="337">
        <f t="shared" si="26"/>
        <v>567.33380971091799</v>
      </c>
      <c r="F97" s="337">
        <f t="shared" si="26"/>
        <v>559.31393144805872</v>
      </c>
      <c r="G97" s="337">
        <f t="shared" si="26"/>
        <v>561.37277661651058</v>
      </c>
      <c r="H97" s="337">
        <f t="shared" si="26"/>
        <v>556.49099360425373</v>
      </c>
      <c r="I97" s="308"/>
      <c r="J97" s="337">
        <f>SUM(J106,J115)</f>
        <v>1672.9676159851506</v>
      </c>
      <c r="K97" s="337">
        <f>SUM(K106,K115)</f>
        <v>2790.8313862059149</v>
      </c>
    </row>
    <row r="98" spans="2:11">
      <c r="B98" s="306" t="s">
        <v>156</v>
      </c>
      <c r="C98" s="384" t="str">
        <f>GD!C98</f>
        <v>£m 18/19</v>
      </c>
      <c r="D98" s="150">
        <f>SUM(D107,D116)</f>
        <v>89.758845674608281</v>
      </c>
      <c r="E98" s="150">
        <f t="shared" ref="E98:H100" si="27">SUM(E107,E116)</f>
        <v>54.21049319761299</v>
      </c>
      <c r="F98" s="150">
        <f t="shared" si="27"/>
        <v>-60.10295713347621</v>
      </c>
      <c r="G98" s="150">
        <f t="shared" si="27"/>
        <v>-167.53200667654235</v>
      </c>
      <c r="H98" s="150">
        <f t="shared" si="27"/>
        <v>-85.430000383035775</v>
      </c>
      <c r="I98" s="306"/>
      <c r="J98" s="150">
        <f t="shared" ref="J98:K100" si="28">SUM(J107,J116)</f>
        <v>83.866381738744977</v>
      </c>
      <c r="K98" s="150">
        <f t="shared" si="28"/>
        <v>-169.09562532083328</v>
      </c>
    </row>
    <row r="99" spans="2:11">
      <c r="B99" s="308" t="s">
        <v>157</v>
      </c>
      <c r="C99" s="384" t="str">
        <f>GD!C99</f>
        <v>£m 18/19</v>
      </c>
      <c r="D99" s="337">
        <f>SUM(D108,D117)</f>
        <v>-42.87</v>
      </c>
      <c r="E99" s="337">
        <f t="shared" si="27"/>
        <v>-43.1</v>
      </c>
      <c r="F99" s="337">
        <f t="shared" si="27"/>
        <v>21.5</v>
      </c>
      <c r="G99" s="337">
        <f t="shared" si="27"/>
        <v>36.299999999999997</v>
      </c>
      <c r="H99" s="337">
        <f t="shared" si="27"/>
        <v>28.200000000000003</v>
      </c>
      <c r="I99" s="308"/>
      <c r="J99" s="337">
        <f t="shared" si="28"/>
        <v>-64.47</v>
      </c>
      <c r="K99" s="337">
        <f t="shared" si="28"/>
        <v>3.0000000000000249E-2</v>
      </c>
    </row>
    <row r="100" spans="2:11">
      <c r="B100" s="306" t="s">
        <v>158</v>
      </c>
      <c r="C100" s="384" t="str">
        <f>GD!C100</f>
        <v>£m 18/19</v>
      </c>
      <c r="D100" s="150">
        <f>SUM(D109,D118)</f>
        <v>46.888845674608277</v>
      </c>
      <c r="E100" s="150">
        <f t="shared" si="27"/>
        <v>11.110493197612989</v>
      </c>
      <c r="F100" s="150">
        <f t="shared" si="27"/>
        <v>-38.60295713347621</v>
      </c>
      <c r="G100" s="150">
        <f t="shared" si="27"/>
        <v>-131.23200667654234</v>
      </c>
      <c r="H100" s="150">
        <f t="shared" si="27"/>
        <v>-57.230000383035772</v>
      </c>
      <c r="I100" s="306"/>
      <c r="J100" s="150">
        <f t="shared" si="28"/>
        <v>19.396381738744978</v>
      </c>
      <c r="K100" s="150">
        <f t="shared" si="28"/>
        <v>-169.06562532083325</v>
      </c>
    </row>
    <row r="101" spans="2:11">
      <c r="B101" s="306" t="s">
        <v>159</v>
      </c>
      <c r="C101" s="178" t="s">
        <v>163</v>
      </c>
      <c r="D101" s="151">
        <f>D100/D97</f>
        <v>8.582672502904494E-2</v>
      </c>
      <c r="E101" s="151">
        <f t="shared" ref="E101:H101" si="29">E100/E97</f>
        <v>1.9583696595262465E-2</v>
      </c>
      <c r="F101" s="151">
        <f t="shared" si="29"/>
        <v>-6.9018408022724381E-2</v>
      </c>
      <c r="G101" s="151">
        <f t="shared" si="29"/>
        <v>-0.2337698088380773</v>
      </c>
      <c r="H101" s="151">
        <f t="shared" si="29"/>
        <v>-0.10284083846958833</v>
      </c>
      <c r="J101" s="151">
        <f>J100/J97</f>
        <v>1.1593997130257147E-2</v>
      </c>
      <c r="K101" s="151">
        <f>K100/K97</f>
        <v>-6.0578946530580241E-2</v>
      </c>
    </row>
    <row r="103" spans="2:11">
      <c r="B103" s="306" t="s">
        <v>191</v>
      </c>
      <c r="D103" s="307" t="str">
        <f>D94</f>
        <v>Actuals</v>
      </c>
      <c r="E103" s="307" t="str">
        <f t="shared" ref="E103:H103" si="30">E94</f>
        <v>Actuals</v>
      </c>
      <c r="F103" s="307" t="str">
        <f t="shared" si="30"/>
        <v>Actuals</v>
      </c>
      <c r="G103" s="307" t="str">
        <f t="shared" si="30"/>
        <v>Forecast</v>
      </c>
      <c r="H103" s="307" t="str">
        <f t="shared" si="30"/>
        <v>Forecast</v>
      </c>
    </row>
    <row r="104" spans="2:11" ht="22.8">
      <c r="D104" s="309">
        <f t="shared" ref="D104:H104" si="31">D95</f>
        <v>2022</v>
      </c>
      <c r="E104" s="309">
        <f t="shared" si="31"/>
        <v>2023</v>
      </c>
      <c r="F104" s="309">
        <f t="shared" si="31"/>
        <v>2024</v>
      </c>
      <c r="G104" s="309">
        <f t="shared" si="31"/>
        <v>2025</v>
      </c>
      <c r="H104" s="309">
        <f t="shared" si="31"/>
        <v>2026</v>
      </c>
      <c r="J104" s="310" t="str">
        <f>J95</f>
        <v>Cumulative to 2024</v>
      </c>
      <c r="K104" s="310" t="str">
        <f>K95</f>
        <v>RIIO-2 period</v>
      </c>
    </row>
    <row r="105" spans="2:11">
      <c r="B105" s="308" t="s">
        <v>154</v>
      </c>
      <c r="C105" s="178" t="s">
        <v>178</v>
      </c>
      <c r="D105" s="326">
        <v>147.74500915292185</v>
      </c>
      <c r="E105" s="326">
        <v>166.19505842868554</v>
      </c>
      <c r="F105" s="326">
        <v>197.5366765339329</v>
      </c>
      <c r="G105" s="326">
        <v>238.92427186033404</v>
      </c>
      <c r="H105" s="326">
        <v>203.98982488885406</v>
      </c>
      <c r="I105" s="308"/>
      <c r="J105" s="326">
        <v>511.47674411554033</v>
      </c>
      <c r="K105" s="326">
        <v>954.39084086472849</v>
      </c>
    </row>
    <row r="106" spans="2:11" ht="22.8">
      <c r="B106" s="312" t="s">
        <v>155</v>
      </c>
      <c r="C106" s="178" t="s">
        <v>178</v>
      </c>
      <c r="D106" s="326">
        <v>189.06175294373685</v>
      </c>
      <c r="E106" s="326">
        <v>202.2683981659427</v>
      </c>
      <c r="F106" s="326">
        <v>196.42206237930577</v>
      </c>
      <c r="G106" s="326">
        <v>196.94427472133637</v>
      </c>
      <c r="H106" s="326">
        <v>194.99650052018831</v>
      </c>
      <c r="I106" s="308"/>
      <c r="J106" s="326">
        <v>587.75221348898526</v>
      </c>
      <c r="K106" s="326">
        <v>979.69298873051002</v>
      </c>
    </row>
    <row r="107" spans="2:11">
      <c r="B107" s="306" t="s">
        <v>156</v>
      </c>
      <c r="C107" s="178" t="s">
        <v>178</v>
      </c>
      <c r="D107" s="326">
        <v>41.316743790815003</v>
      </c>
      <c r="E107" s="326">
        <v>36.073339737257136</v>
      </c>
      <c r="F107" s="326">
        <v>-1.1146141546271489</v>
      </c>
      <c r="G107" s="326">
        <v>-41.979997138997682</v>
      </c>
      <c r="H107" s="326">
        <v>-8.9933243686657853</v>
      </c>
      <c r="I107" s="308"/>
      <c r="J107" s="326">
        <v>76.275469373444992</v>
      </c>
      <c r="K107" s="326">
        <v>25.302147865781492</v>
      </c>
    </row>
    <row r="108" spans="2:11">
      <c r="B108" s="308" t="s">
        <v>157</v>
      </c>
      <c r="C108" s="178" t="s">
        <v>178</v>
      </c>
      <c r="D108" s="326">
        <v>-12.1</v>
      </c>
      <c r="E108" s="326">
        <v>-8.1</v>
      </c>
      <c r="F108" s="326">
        <v>10.9</v>
      </c>
      <c r="G108" s="326">
        <v>6</v>
      </c>
      <c r="H108" s="326">
        <v>3.3</v>
      </c>
      <c r="I108" s="308"/>
      <c r="J108" s="326">
        <v>-9.3000000000000007</v>
      </c>
      <c r="K108" s="326">
        <v>0</v>
      </c>
    </row>
    <row r="109" spans="2:11">
      <c r="B109" s="306" t="s">
        <v>158</v>
      </c>
      <c r="C109" s="178" t="s">
        <v>178</v>
      </c>
      <c r="D109" s="303">
        <f>D107+D108</f>
        <v>29.216743790815002</v>
      </c>
      <c r="E109" s="303">
        <f t="shared" ref="E109:K109" si="32">E107+E108</f>
        <v>27.973339737257135</v>
      </c>
      <c r="F109" s="303">
        <f t="shared" si="32"/>
        <v>9.7853858453728506</v>
      </c>
      <c r="G109" s="303">
        <f t="shared" si="32"/>
        <v>-35.979997138997682</v>
      </c>
      <c r="H109" s="303">
        <f t="shared" si="32"/>
        <v>-5.6933243686657855</v>
      </c>
      <c r="I109" s="308"/>
      <c r="J109" s="303">
        <f t="shared" si="32"/>
        <v>66.975469373444994</v>
      </c>
      <c r="K109" s="303">
        <f t="shared" si="32"/>
        <v>25.302147865781492</v>
      </c>
    </row>
    <row r="110" spans="2:11">
      <c r="B110" s="306" t="s">
        <v>159</v>
      </c>
      <c r="C110" s="314" t="s">
        <v>163</v>
      </c>
      <c r="D110" s="151">
        <f>D109/D106</f>
        <v>0.15453545381814826</v>
      </c>
      <c r="E110" s="151">
        <f>E109/E106</f>
        <v>0.13829812264745167</v>
      </c>
      <c r="F110" s="151">
        <f t="shared" ref="F110:H110" si="33">F109/F106</f>
        <v>4.9818160581556949E-2</v>
      </c>
      <c r="G110" s="151">
        <f t="shared" si="33"/>
        <v>-0.18269125715843779</v>
      </c>
      <c r="H110" s="151">
        <f t="shared" si="33"/>
        <v>-2.9197059195820524E-2</v>
      </c>
      <c r="J110" s="151">
        <f>J109/J106</f>
        <v>0.11395187944230541</v>
      </c>
      <c r="K110" s="151">
        <f>K109/K106</f>
        <v>2.5826609107990162E-2</v>
      </c>
    </row>
    <row r="112" spans="2:11">
      <c r="B112" s="306" t="s">
        <v>192</v>
      </c>
      <c r="D112" s="307" t="str">
        <f>D94</f>
        <v>Actuals</v>
      </c>
      <c r="E112" s="307" t="str">
        <f t="shared" ref="E112:H112" si="34">E94</f>
        <v>Actuals</v>
      </c>
      <c r="F112" s="307" t="str">
        <f t="shared" si="34"/>
        <v>Actuals</v>
      </c>
      <c r="G112" s="307" t="str">
        <f t="shared" si="34"/>
        <v>Forecast</v>
      </c>
      <c r="H112" s="307" t="str">
        <f t="shared" si="34"/>
        <v>Forecast</v>
      </c>
    </row>
    <row r="113" spans="2:11" ht="22.8">
      <c r="D113" s="309">
        <f t="shared" ref="D113:H113" si="35">D95</f>
        <v>2022</v>
      </c>
      <c r="E113" s="309">
        <f t="shared" si="35"/>
        <v>2023</v>
      </c>
      <c r="F113" s="309">
        <f t="shared" si="35"/>
        <v>2024</v>
      </c>
      <c r="G113" s="309">
        <f t="shared" si="35"/>
        <v>2025</v>
      </c>
      <c r="H113" s="309">
        <f t="shared" si="35"/>
        <v>2026</v>
      </c>
      <c r="J113" s="310" t="str">
        <f>J95</f>
        <v>Cumulative to 2024</v>
      </c>
      <c r="K113" s="310" t="str">
        <f>K95</f>
        <v>RIIO-2 period</v>
      </c>
    </row>
    <row r="114" spans="2:11">
      <c r="B114" s="308" t="s">
        <v>154</v>
      </c>
      <c r="C114" s="178" t="s">
        <v>178</v>
      </c>
      <c r="D114" s="326">
        <v>308.81601999864381</v>
      </c>
      <c r="E114" s="326">
        <v>346.92825808461947</v>
      </c>
      <c r="F114" s="326">
        <v>421.88021204760207</v>
      </c>
      <c r="G114" s="326">
        <v>489.98051143271886</v>
      </c>
      <c r="H114" s="326">
        <v>437.93116909843542</v>
      </c>
      <c r="I114" s="308"/>
      <c r="J114" s="326">
        <v>1077.6244901308653</v>
      </c>
      <c r="K114" s="326">
        <v>2005.5361706620197</v>
      </c>
    </row>
    <row r="115" spans="2:11" ht="22.8">
      <c r="B115" s="312" t="s">
        <v>155</v>
      </c>
      <c r="C115" s="178" t="s">
        <v>178</v>
      </c>
      <c r="D115" s="326">
        <v>357.25812188243708</v>
      </c>
      <c r="E115" s="326">
        <v>365.06541154497529</v>
      </c>
      <c r="F115" s="326">
        <v>362.89186906875295</v>
      </c>
      <c r="G115" s="326">
        <v>364.42850189517418</v>
      </c>
      <c r="H115" s="326">
        <v>361.49449308406543</v>
      </c>
      <c r="I115" s="308"/>
      <c r="J115" s="326">
        <v>1085.2154024961653</v>
      </c>
      <c r="K115" s="326">
        <v>1811.1383974754049</v>
      </c>
    </row>
    <row r="116" spans="2:11">
      <c r="B116" s="306" t="s">
        <v>156</v>
      </c>
      <c r="C116" s="178" t="s">
        <v>178</v>
      </c>
      <c r="D116" s="326">
        <v>48.442101883793278</v>
      </c>
      <c r="E116" s="326">
        <v>18.137153460355854</v>
      </c>
      <c r="F116" s="326">
        <v>-58.988342978849062</v>
      </c>
      <c r="G116" s="326">
        <v>-125.55200953754466</v>
      </c>
      <c r="H116" s="326">
        <v>-76.436676014369993</v>
      </c>
      <c r="I116" s="308"/>
      <c r="J116" s="326">
        <v>7.5909123652999853</v>
      </c>
      <c r="K116" s="326">
        <v>-194.39777318661476</v>
      </c>
    </row>
    <row r="117" spans="2:11">
      <c r="B117" s="308" t="s">
        <v>157</v>
      </c>
      <c r="C117" s="178" t="s">
        <v>178</v>
      </c>
      <c r="D117" s="326">
        <v>-30.77</v>
      </c>
      <c r="E117" s="326">
        <v>-35</v>
      </c>
      <c r="F117" s="326">
        <v>10.600000000000001</v>
      </c>
      <c r="G117" s="326">
        <v>30.299999999999997</v>
      </c>
      <c r="H117" s="326">
        <v>24.900000000000002</v>
      </c>
      <c r="I117" s="308"/>
      <c r="J117" s="326">
        <v>-55.17</v>
      </c>
      <c r="K117" s="326">
        <v>3.0000000000000249E-2</v>
      </c>
    </row>
    <row r="118" spans="2:11">
      <c r="B118" s="306" t="s">
        <v>158</v>
      </c>
      <c r="C118" s="178" t="s">
        <v>178</v>
      </c>
      <c r="D118" s="303">
        <f>D116+D117</f>
        <v>17.672101883793278</v>
      </c>
      <c r="E118" s="303">
        <f t="shared" ref="E118:H118" si="36">E116+E117</f>
        <v>-16.862846539644146</v>
      </c>
      <c r="F118" s="303">
        <f t="shared" si="36"/>
        <v>-48.38834297884906</v>
      </c>
      <c r="G118" s="303">
        <f t="shared" si="36"/>
        <v>-95.252009537544666</v>
      </c>
      <c r="H118" s="303">
        <f t="shared" si="36"/>
        <v>-51.536676014369988</v>
      </c>
      <c r="I118" s="308"/>
      <c r="J118" s="303">
        <f>J116+J117</f>
        <v>-47.579087634700016</v>
      </c>
      <c r="K118" s="303">
        <f>K116+K117</f>
        <v>-194.36777318661476</v>
      </c>
    </row>
    <row r="119" spans="2:11">
      <c r="B119" s="306" t="s">
        <v>159</v>
      </c>
      <c r="C119" s="314" t="s">
        <v>163</v>
      </c>
      <c r="D119" s="151">
        <f t="shared" ref="D119:H119" si="37">D118/D115</f>
        <v>4.9465920580550542E-2</v>
      </c>
      <c r="E119" s="151">
        <f t="shared" si="37"/>
        <v>-4.6191301630794671E-2</v>
      </c>
      <c r="F119" s="151">
        <f t="shared" si="37"/>
        <v>-0.13334094010709696</v>
      </c>
      <c r="G119" s="151">
        <f t="shared" si="37"/>
        <v>-0.26137365503026261</v>
      </c>
      <c r="H119" s="151">
        <f t="shared" si="37"/>
        <v>-0.14256559090205878</v>
      </c>
      <c r="J119" s="151">
        <f>J118/J115</f>
        <v>-4.3842989627000006E-2</v>
      </c>
      <c r="K119" s="151">
        <f>K118/K115</f>
        <v>-0.10731801250393083</v>
      </c>
    </row>
  </sheetData>
  <conditionalFormatting sqref="D6:G7 D94:G95 D103:G104">
    <cfRule type="expression" dxfId="39" priority="25">
      <formula>AND(D$6="Actuals",E$6="Forecast")</formula>
    </cfRule>
  </conditionalFormatting>
  <conditionalFormatting sqref="D112:G113">
    <cfRule type="expression" dxfId="38" priority="5">
      <formula>AND(D$6="Actuals",E$6="Forecast")</formula>
    </cfRule>
  </conditionalFormatting>
  <conditionalFormatting sqref="H6:H7 H94:H95 H103:H104 H112:H113">
    <cfRule type="expression" dxfId="37" priority="42">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5" tint="0.39997558519241921"/>
  </sheetPr>
  <dimension ref="A1:N101"/>
  <sheetViews>
    <sheetView zoomScale="80" zoomScaleNormal="80" workbookViewId="0"/>
  </sheetViews>
  <sheetFormatPr defaultRowHeight="12.6"/>
  <cols>
    <col min="1" max="1" width="7.26953125" customWidth="1"/>
    <col min="2" max="2" width="66.26953125" style="8" bestFit="1" customWidth="1"/>
    <col min="3" max="3" width="8.6328125" bestFit="1" customWidth="1"/>
    <col min="4" max="8" width="9.08984375" customWidth="1"/>
    <col min="9" max="9" width="3.6328125" customWidth="1"/>
    <col min="10" max="11" width="13.7265625" customWidth="1"/>
    <col min="12" max="12" width="5.08984375" customWidth="1"/>
  </cols>
  <sheetData>
    <row r="1" spans="1:13" s="41" customFormat="1" ht="57" customHeight="1"/>
    <row r="2" spans="1:13" s="424" customFormat="1" ht="16.2">
      <c r="A2" s="419" t="s">
        <v>162</v>
      </c>
      <c r="B2" s="420"/>
      <c r="C2" s="421"/>
      <c r="D2" s="421"/>
      <c r="E2" s="421"/>
      <c r="F2" s="421"/>
      <c r="G2" s="421"/>
      <c r="H2" s="421"/>
      <c r="I2" s="422"/>
      <c r="J2" s="422"/>
      <c r="K2" s="422"/>
      <c r="L2" s="423" t="s">
        <v>30</v>
      </c>
    </row>
    <row r="3" spans="1:13" s="424" customFormat="1" ht="16.2">
      <c r="A3" s="425" t="s">
        <v>15</v>
      </c>
      <c r="B3" s="426"/>
      <c r="C3" s="427"/>
      <c r="D3" s="427"/>
      <c r="E3" s="427"/>
      <c r="F3" s="427"/>
      <c r="G3" s="427"/>
      <c r="H3" s="427"/>
      <c r="I3" s="428"/>
      <c r="J3" s="428"/>
      <c r="K3" s="428"/>
      <c r="L3" s="429"/>
    </row>
    <row r="4" spans="1:13" s="424" customFormat="1" ht="16.2">
      <c r="A4" s="430">
        <f>Data!$B$3</f>
        <v>2024</v>
      </c>
      <c r="B4" s="431"/>
      <c r="C4" s="432"/>
      <c r="D4" s="432"/>
      <c r="E4" s="432"/>
      <c r="F4" s="432"/>
      <c r="G4" s="432"/>
      <c r="H4" s="432"/>
      <c r="I4" s="433"/>
      <c r="J4" s="433"/>
      <c r="K4" s="433"/>
      <c r="L4" s="434"/>
    </row>
    <row r="5" spans="1:13" ht="12.75" customHeight="1">
      <c r="J5" s="9"/>
    </row>
    <row r="6" spans="1:13" s="104" customFormat="1" ht="11.4">
      <c r="B6" s="308"/>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s="104" customFormat="1" ht="31.5" customHeight="1">
      <c r="B7" s="308"/>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s="104" customFormat="1" ht="11.4">
      <c r="B8" s="308"/>
      <c r="C8" s="361"/>
      <c r="D8" s="361"/>
      <c r="E8" s="361"/>
      <c r="F8" s="361"/>
      <c r="G8" s="361"/>
      <c r="H8" s="361"/>
      <c r="I8" s="361"/>
      <c r="J8" s="361"/>
      <c r="K8" s="361"/>
      <c r="L8" s="361"/>
    </row>
    <row r="9" spans="1:13" s="104" customFormat="1" ht="11.4">
      <c r="B9" s="366" t="s">
        <v>56</v>
      </c>
      <c r="C9" s="367"/>
      <c r="D9" s="367"/>
      <c r="E9" s="367"/>
      <c r="F9" s="367"/>
      <c r="G9" s="367"/>
      <c r="H9" s="367"/>
      <c r="I9" s="368"/>
      <c r="J9" s="367"/>
      <c r="K9" s="367"/>
      <c r="L9" s="367"/>
    </row>
    <row r="10" spans="1:13" s="104" customFormat="1" ht="11.4">
      <c r="B10" s="147"/>
      <c r="I10" s="345"/>
    </row>
    <row r="11" spans="1:13" s="104" customFormat="1" ht="11.4">
      <c r="B11" s="369" t="str">
        <f>GD!B11</f>
        <v>Allowed Equity Return</v>
      </c>
      <c r="C11" s="370" t="s">
        <v>163</v>
      </c>
      <c r="D11" s="284">
        <f t="shared" ref="D11:H20" si="1">D65/D$90</f>
        <v>4.5181881E-2</v>
      </c>
      <c r="E11" s="371">
        <f t="shared" si="1"/>
        <v>4.5568104999999998E-2</v>
      </c>
      <c r="F11" s="371">
        <f t="shared" si="1"/>
        <v>5.2833943999999994E-2</v>
      </c>
      <c r="G11" s="371">
        <f t="shared" si="1"/>
        <v>5.5875458000000003E-2</v>
      </c>
      <c r="H11" s="371">
        <f t="shared" si="1"/>
        <v>5.5175426999999992E-2</v>
      </c>
      <c r="I11" s="194"/>
      <c r="J11" s="284">
        <f>AVERAGE(D65:INDEX(D65:H65,0,MATCH(Data!$B$3,$D$7:$H$7,0)))/AVERAGE($D$90:INDEX($D$90:$H$90,0,MATCH(Data!$B$3,$D$7:$H$7,0)))</f>
        <v>4.7889783940547256E-2</v>
      </c>
      <c r="K11" s="285">
        <f t="shared" ref="K11:K20" si="2">AVERAGE(D65:H65)/AVERAGE($D$90:$H$90)</f>
        <v>5.1008533067995798E-2</v>
      </c>
    </row>
    <row r="12" spans="1:13" s="104" customFormat="1" ht="11.4">
      <c r="B12" s="369" t="str">
        <f>GD!B12</f>
        <v>Totex outperformance</v>
      </c>
      <c r="C12" s="370" t="s">
        <v>163</v>
      </c>
      <c r="D12" s="282">
        <f t="shared" si="1"/>
        <v>2.1999677627734266E-2</v>
      </c>
      <c r="E12" s="283">
        <f t="shared" si="1"/>
        <v>3.5089100869610244E-3</v>
      </c>
      <c r="F12" s="283">
        <f t="shared" si="1"/>
        <v>-1.9058784481946693E-2</v>
      </c>
      <c r="G12" s="283">
        <f t="shared" si="1"/>
        <v>-3.3384926766355301E-2</v>
      </c>
      <c r="H12" s="283">
        <f t="shared" si="1"/>
        <v>-2.2613880728598743E-2</v>
      </c>
      <c r="I12" s="194"/>
      <c r="J12" s="284">
        <f>AVERAGE(D66:INDEX(D66:H66,0,MATCH(Data!$B$3,$D$7:$H$7,0)))/AVERAGE($D$90:INDEX($D$90:$H$90,0,MATCH(Data!$B$3,$D$7:$H$7,0)))</f>
        <v>2.005662126660957E-3</v>
      </c>
      <c r="K12" s="285">
        <f t="shared" si="2"/>
        <v>-1.0235890505418553E-2</v>
      </c>
      <c r="M12" s="194"/>
    </row>
    <row r="13" spans="1:13" s="104" customFormat="1" ht="11.4">
      <c r="B13" s="369" t="str">
        <f>GD!B13</f>
        <v>Business Plan Incentive</v>
      </c>
      <c r="C13" s="370" t="s">
        <v>163</v>
      </c>
      <c r="D13" s="282">
        <f t="shared" si="1"/>
        <v>0</v>
      </c>
      <c r="E13" s="283">
        <f t="shared" si="1"/>
        <v>0</v>
      </c>
      <c r="F13" s="283">
        <f t="shared" si="1"/>
        <v>0</v>
      </c>
      <c r="G13" s="283">
        <f t="shared" si="1"/>
        <v>0</v>
      </c>
      <c r="H13" s="283">
        <f t="shared" si="1"/>
        <v>0</v>
      </c>
      <c r="I13" s="194"/>
      <c r="J13" s="284">
        <f>AVERAGE(D67:INDEX(D67:H67,0,MATCH(Data!$B$3,$D$7:$H$7,0)))/AVERAGE($D$90:INDEX($D$90:$H$90,0,MATCH(Data!$B$3,$D$7:$H$7,0)))</f>
        <v>0</v>
      </c>
      <c r="K13" s="285">
        <f t="shared" si="2"/>
        <v>0</v>
      </c>
    </row>
    <row r="14" spans="1:13" s="104" customFormat="1" ht="11.4">
      <c r="B14" s="369" t="str">
        <f>GD!B14</f>
        <v>Customer Satisfaction Survey ODI</v>
      </c>
      <c r="C14" s="370" t="s">
        <v>163</v>
      </c>
      <c r="D14" s="282">
        <f t="shared" si="1"/>
        <v>1.2476821527395428E-3</v>
      </c>
      <c r="E14" s="283">
        <f t="shared" si="1"/>
        <v>1.1309603466375844E-3</v>
      </c>
      <c r="F14" s="283">
        <f t="shared" si="1"/>
        <v>1.2890542429678821E-3</v>
      </c>
      <c r="G14" s="283">
        <f t="shared" si="1"/>
        <v>1.6650217212858987E-3</v>
      </c>
      <c r="H14" s="283">
        <f t="shared" si="1"/>
        <v>1.6370569049599945E-3</v>
      </c>
      <c r="I14" s="194"/>
      <c r="J14" s="284">
        <f>AVERAGE(D68:INDEX(D68:H68,0,MATCH(Data!$B$3,$D$7:$H$7,0)))/AVERAGE($D$90:INDEX($D$90:$H$90,0,MATCH(Data!$B$3,$D$7:$H$7,0)))</f>
        <v>1.2227811080221303E-3</v>
      </c>
      <c r="K14" s="285">
        <f t="shared" si="2"/>
        <v>1.3977207216437418E-3</v>
      </c>
    </row>
    <row r="15" spans="1:13" s="104" customFormat="1" ht="11.4">
      <c r="B15" s="369" t="str">
        <f>GD!B15</f>
        <v>Complaints metric ODI</v>
      </c>
      <c r="C15" s="370" t="s">
        <v>163</v>
      </c>
      <c r="D15" s="282">
        <f t="shared" si="1"/>
        <v>0</v>
      </c>
      <c r="E15" s="283">
        <f t="shared" si="1"/>
        <v>0</v>
      </c>
      <c r="F15" s="283">
        <f t="shared" si="1"/>
        <v>0</v>
      </c>
      <c r="G15" s="283">
        <f t="shared" si="1"/>
        <v>0</v>
      </c>
      <c r="H15" s="283">
        <f t="shared" si="1"/>
        <v>0</v>
      </c>
      <c r="I15" s="194"/>
      <c r="J15" s="284">
        <f>AVERAGE(D69:INDEX(D69:H69,0,MATCH(Data!$B$3,$D$7:$H$7,0)))/AVERAGE($D$90:INDEX($D$90:$H$90,0,MATCH(Data!$B$3,$D$7:$H$7,0)))</f>
        <v>0</v>
      </c>
      <c r="K15" s="285">
        <f t="shared" si="2"/>
        <v>0</v>
      </c>
    </row>
    <row r="16" spans="1:13" s="104" customFormat="1" ht="11.4">
      <c r="B16" s="369" t="str">
        <f>GD!B16</f>
        <v>Unplanned Interruption Mean Duration ODI [NGN, SGN and WWU]</v>
      </c>
      <c r="C16" s="370" t="s">
        <v>163</v>
      </c>
      <c r="D16" s="282">
        <f t="shared" si="1"/>
        <v>0</v>
      </c>
      <c r="E16" s="283">
        <f t="shared" si="1"/>
        <v>0</v>
      </c>
      <c r="F16" s="283">
        <f t="shared" si="1"/>
        <v>0</v>
      </c>
      <c r="G16" s="283">
        <f t="shared" si="1"/>
        <v>0</v>
      </c>
      <c r="H16" s="283">
        <f t="shared" si="1"/>
        <v>0</v>
      </c>
      <c r="I16" s="194"/>
      <c r="J16" s="284">
        <f>AVERAGE(D70:INDEX(D70:H70,0,MATCH(Data!$B$3,$D$7:$H$7,0)))/AVERAGE($D$90:INDEX($D$90:$H$90,0,MATCH(Data!$B$3,$D$7:$H$7,0)))</f>
        <v>0</v>
      </c>
      <c r="K16" s="285">
        <f t="shared" si="2"/>
        <v>0</v>
      </c>
    </row>
    <row r="17" spans="2:11" s="104" customFormat="1" ht="11.4">
      <c r="B17" s="369" t="str">
        <f>GD!B17</f>
        <v>Unplanned Interruption Mean Duration ODI [Cadent only]</v>
      </c>
      <c r="C17" s="370" t="s">
        <v>163</v>
      </c>
      <c r="D17" s="282">
        <f t="shared" si="1"/>
        <v>0</v>
      </c>
      <c r="E17" s="283">
        <f t="shared" si="1"/>
        <v>0</v>
      </c>
      <c r="F17" s="283">
        <f t="shared" si="1"/>
        <v>0</v>
      </c>
      <c r="G17" s="283">
        <f t="shared" si="1"/>
        <v>0</v>
      </c>
      <c r="H17" s="283">
        <f t="shared" si="1"/>
        <v>0</v>
      </c>
      <c r="I17" s="194"/>
      <c r="J17" s="284">
        <f>AVERAGE(D71:INDEX(D71:H71,0,MATCH(Data!$B$3,$D$7:$H$7,0)))/AVERAGE($D$90:INDEX($D$90:$H$90,0,MATCH(Data!$B$3,$D$7:$H$7,0)))</f>
        <v>0</v>
      </c>
      <c r="K17" s="285">
        <f t="shared" si="2"/>
        <v>0</v>
      </c>
    </row>
    <row r="18" spans="2:11" s="104" customFormat="1" ht="11.4">
      <c r="B18" s="369" t="str">
        <f>GD!B18</f>
        <v>Shrinkage Management ODI</v>
      </c>
      <c r="C18" s="370" t="s">
        <v>163</v>
      </c>
      <c r="D18" s="282">
        <f t="shared" si="1"/>
        <v>4.7180453574978843E-4</v>
      </c>
      <c r="E18" s="283">
        <f t="shared" si="1"/>
        <v>4.1349925736926995E-4</v>
      </c>
      <c r="F18" s="283">
        <f t="shared" si="1"/>
        <v>3.8460731795514753E-4</v>
      </c>
      <c r="G18" s="283">
        <f t="shared" si="1"/>
        <v>0</v>
      </c>
      <c r="H18" s="283">
        <f t="shared" si="1"/>
        <v>0</v>
      </c>
      <c r="I18" s="194"/>
      <c r="J18" s="284">
        <f>AVERAGE(D72:INDEX(D72:H72,0,MATCH(Data!$B$3,$D$7:$H$7,0)))/AVERAGE($D$90:INDEX($D$90:$H$90,0,MATCH(Data!$B$3,$D$7:$H$7,0)))</f>
        <v>4.230071739874947E-4</v>
      </c>
      <c r="K18" s="285">
        <f t="shared" si="2"/>
        <v>2.5016476765448678E-4</v>
      </c>
    </row>
    <row r="19" spans="2:11" s="104" customFormat="1" ht="11.4">
      <c r="B19" s="369" t="str">
        <f>GD!B19</f>
        <v>Collaborative streetworks ODI [Cadent Lon &amp; EoE, SGN So only]</v>
      </c>
      <c r="C19" s="370" t="s">
        <v>163</v>
      </c>
      <c r="D19" s="282">
        <f t="shared" si="1"/>
        <v>0</v>
      </c>
      <c r="E19" s="283">
        <f t="shared" si="1"/>
        <v>0</v>
      </c>
      <c r="F19" s="283">
        <f t="shared" si="1"/>
        <v>0</v>
      </c>
      <c r="G19" s="283">
        <f t="shared" si="1"/>
        <v>0</v>
      </c>
      <c r="H19" s="283">
        <f t="shared" si="1"/>
        <v>0</v>
      </c>
      <c r="I19" s="194"/>
      <c r="J19" s="284">
        <f>AVERAGE(D73:INDEX(D73:H73,0,MATCH(Data!$B$3,$D$7:$H$7,0)))/AVERAGE($D$90:INDEX($D$90:$H$90,0,MATCH(Data!$B$3,$D$7:$H$7,0)))</f>
        <v>0</v>
      </c>
      <c r="K19" s="285">
        <f t="shared" si="2"/>
        <v>0</v>
      </c>
    </row>
    <row r="20" spans="2:11" s="104" customFormat="1" ht="11.4">
      <c r="B20" s="369" t="str">
        <f>GD!B20</f>
        <v>Network innovation input for RORE</v>
      </c>
      <c r="C20" s="370" t="s">
        <v>163</v>
      </c>
      <c r="D20" s="282">
        <f t="shared" si="1"/>
        <v>-1.0446622480639472E-4</v>
      </c>
      <c r="E20" s="283">
        <f t="shared" si="1"/>
        <v>-1.4587116373568172E-4</v>
      </c>
      <c r="F20" s="283">
        <f t="shared" si="1"/>
        <v>-1.7156274717925509E-4</v>
      </c>
      <c r="G20" s="283">
        <f t="shared" si="1"/>
        <v>-6.0462685302568181E-4</v>
      </c>
      <c r="H20" s="283">
        <f t="shared" si="1"/>
        <v>-5.9447186304902597E-4</v>
      </c>
      <c r="I20" s="194"/>
      <c r="J20" s="284">
        <f>AVERAGE(D74:INDEX(D74:H74,0,MATCH(Data!$B$3,$D$7:$H$7,0)))/AVERAGE($D$90:INDEX($D$90:$H$90,0,MATCH(Data!$B$3,$D$7:$H$7,0)))</f>
        <v>-1.4086334547063289E-4</v>
      </c>
      <c r="K20" s="285">
        <f t="shared" si="2"/>
        <v>-3.2826669633249597E-4</v>
      </c>
    </row>
    <row r="21" spans="2:11" s="104" customFormat="1" ht="11.4">
      <c r="B21" s="369" t="str">
        <f>GD!B21</f>
        <v>Carry-over Network innovation input for RORE</v>
      </c>
      <c r="C21" s="370" t="s">
        <v>163</v>
      </c>
      <c r="D21" s="282">
        <f t="shared" ref="D21:H21" si="3">D75/D$90</f>
        <v>-5.1235112187276843E-5</v>
      </c>
      <c r="E21" s="283">
        <f t="shared" si="3"/>
        <v>0</v>
      </c>
      <c r="F21" s="283">
        <f t="shared" si="3"/>
        <v>0</v>
      </c>
      <c r="G21" s="283">
        <f t="shared" si="3"/>
        <v>0</v>
      </c>
      <c r="H21" s="283">
        <f t="shared" si="3"/>
        <v>0</v>
      </c>
      <c r="I21" s="194"/>
      <c r="J21" s="284">
        <f>AVERAGE(D75:INDEX(D75:H75,0,MATCH(Data!$B$3,$D$7:$H$7,0)))/AVERAGE($D$90:INDEX($D$90:$H$90,0,MATCH(Data!$B$3,$D$7:$H$7,0)))</f>
        <v>-1.6912935254279888E-5</v>
      </c>
      <c r="K21" s="285">
        <f t="shared" ref="K21:K24" si="4">AVERAGE(D75:H75)/AVERAGE($D$90:$H$90)</f>
        <v>-1.0002242936824015E-5</v>
      </c>
    </row>
    <row r="22" spans="2:11" s="104" customFormat="1" ht="11.4">
      <c r="B22" s="369" t="str">
        <f>GD!B22</f>
        <v>Strategic innovation input for RORE</v>
      </c>
      <c r="C22" s="370" t="s">
        <v>163</v>
      </c>
      <c r="D22" s="282">
        <f t="shared" ref="D22:H22" si="5">D76/D$90</f>
        <v>0</v>
      </c>
      <c r="E22" s="283">
        <f t="shared" si="5"/>
        <v>-1.286316067130296E-5</v>
      </c>
      <c r="F22" s="283">
        <f t="shared" si="5"/>
        <v>-5.9460251384559419E-5</v>
      </c>
      <c r="G22" s="283">
        <f t="shared" si="5"/>
        <v>0</v>
      </c>
      <c r="H22" s="283">
        <f t="shared" si="5"/>
        <v>0</v>
      </c>
      <c r="I22" s="194"/>
      <c r="J22" s="284">
        <f>AVERAGE(D76:INDEX(D76:H76,0,MATCH(Data!$B$3,$D$7:$H$7,0)))/AVERAGE($D$90:INDEX($D$90:$H$90,0,MATCH(Data!$B$3,$D$7:$H$7,0)))</f>
        <v>-2.4323948975135687E-5</v>
      </c>
      <c r="K22" s="285">
        <f t="shared" si="4"/>
        <v>-1.4385087104892223E-5</v>
      </c>
    </row>
    <row r="23" spans="2:11" s="104" customFormat="1" ht="11.4">
      <c r="B23" s="369" t="str">
        <f>GD!B23</f>
        <v>H100 shareholder contribution</v>
      </c>
      <c r="C23" s="370" t="s">
        <v>163</v>
      </c>
      <c r="D23" s="282">
        <f t="shared" ref="D23:H23" si="6">D77/D$90</f>
        <v>0</v>
      </c>
      <c r="E23" s="283">
        <f t="shared" si="6"/>
        <v>0</v>
      </c>
      <c r="F23" s="283">
        <f t="shared" si="6"/>
        <v>0</v>
      </c>
      <c r="G23" s="283">
        <f t="shared" si="6"/>
        <v>0</v>
      </c>
      <c r="H23" s="283">
        <f t="shared" si="6"/>
        <v>0</v>
      </c>
      <c r="I23" s="194"/>
      <c r="J23" s="284">
        <f>AVERAGE(D77:INDEX(D77:H77,0,MATCH(Data!$B$3,$D$7:$H$7,0)))/AVERAGE($D$90:INDEX($D$90:$H$90,0,MATCH(Data!$B$3,$D$7:$H$7,0)))</f>
        <v>0</v>
      </c>
      <c r="K23" s="285">
        <f t="shared" si="4"/>
        <v>0</v>
      </c>
    </row>
    <row r="24" spans="2:11" s="104" customFormat="1" ht="11.4">
      <c r="B24" s="369" t="str">
        <f>GD!B24</f>
        <v>LTS shareholder contribution</v>
      </c>
      <c r="C24" s="370" t="s">
        <v>163</v>
      </c>
      <c r="D24" s="282">
        <f t="shared" ref="D24:H24" si="7">D78/D$90</f>
        <v>0</v>
      </c>
      <c r="E24" s="283">
        <f t="shared" si="7"/>
        <v>0</v>
      </c>
      <c r="F24" s="283">
        <f t="shared" si="7"/>
        <v>0</v>
      </c>
      <c r="G24" s="283">
        <f t="shared" si="7"/>
        <v>0</v>
      </c>
      <c r="H24" s="283">
        <f t="shared" si="7"/>
        <v>0</v>
      </c>
      <c r="I24" s="194"/>
      <c r="J24" s="284">
        <f>AVERAGE(D78:INDEX(D78:H78,0,MATCH(Data!$B$3,$D$7:$H$7,0)))/AVERAGE($D$90:INDEX($D$90:$H$90,0,MATCH(Data!$B$3,$D$7:$H$7,0)))</f>
        <v>0</v>
      </c>
      <c r="K24" s="285">
        <f t="shared" si="4"/>
        <v>0</v>
      </c>
    </row>
    <row r="25" spans="2:11" s="104" customFormat="1" ht="11.4">
      <c r="B25" s="369" t="str">
        <f>GD!B25</f>
        <v/>
      </c>
      <c r="C25" s="370" t="s">
        <v>163</v>
      </c>
      <c r="D25" s="282">
        <f t="shared" ref="D25:H25" si="8">D79/D$90</f>
        <v>0</v>
      </c>
      <c r="E25" s="283">
        <f t="shared" si="8"/>
        <v>0</v>
      </c>
      <c r="F25" s="283">
        <f t="shared" si="8"/>
        <v>0</v>
      </c>
      <c r="G25" s="283">
        <f t="shared" si="8"/>
        <v>0</v>
      </c>
      <c r="H25" s="283">
        <f t="shared" si="8"/>
        <v>0</v>
      </c>
      <c r="I25" s="194"/>
      <c r="J25" s="284">
        <f>AVERAGE(D79:INDEX(D79:H79,0,MATCH(Data!$B$3,$D$7:$H$7,0)))/AVERAGE($D$90:INDEX($D$90:$H$90,0,MATCH(Data!$B$3,$D$7:$H$7,0)))</f>
        <v>0</v>
      </c>
      <c r="K25" s="285">
        <f t="shared" ref="K25:K28" si="9">AVERAGE(D79:H79)/AVERAGE($D$90:$H$90)</f>
        <v>0</v>
      </c>
    </row>
    <row r="26" spans="2:11" s="104" customFormat="1" ht="11.4">
      <c r="B26" s="369" t="str">
        <f>GD!B26</f>
        <v/>
      </c>
      <c r="C26" s="370" t="s">
        <v>163</v>
      </c>
      <c r="D26" s="282">
        <f t="shared" ref="D26:H26" si="10">D80/D$90</f>
        <v>0</v>
      </c>
      <c r="E26" s="283">
        <f t="shared" si="10"/>
        <v>0</v>
      </c>
      <c r="F26" s="283">
        <f t="shared" si="10"/>
        <v>0</v>
      </c>
      <c r="G26" s="283">
        <f t="shared" si="10"/>
        <v>0</v>
      </c>
      <c r="H26" s="283">
        <f t="shared" si="10"/>
        <v>0</v>
      </c>
      <c r="I26" s="194"/>
      <c r="J26" s="284">
        <f>AVERAGE(D80:INDEX(D80:H80,0,MATCH(Data!$B$3,$D$7:$H$7,0)))/AVERAGE($D$90:INDEX($D$90:$H$90,0,MATCH(Data!$B$3,$D$7:$H$7,0)))</f>
        <v>0</v>
      </c>
      <c r="K26" s="285">
        <f t="shared" si="9"/>
        <v>0</v>
      </c>
    </row>
    <row r="27" spans="2:11" s="104" customFormat="1" ht="11.4">
      <c r="B27" s="369" t="str">
        <f>GD!B27</f>
        <v/>
      </c>
      <c r="C27" s="370" t="s">
        <v>163</v>
      </c>
      <c r="D27" s="282">
        <f t="shared" ref="D27:H27" si="11">D81/D$90</f>
        <v>0</v>
      </c>
      <c r="E27" s="283">
        <f t="shared" si="11"/>
        <v>0</v>
      </c>
      <c r="F27" s="283">
        <f t="shared" si="11"/>
        <v>0</v>
      </c>
      <c r="G27" s="283">
        <f t="shared" si="11"/>
        <v>0</v>
      </c>
      <c r="H27" s="283">
        <f t="shared" si="11"/>
        <v>0</v>
      </c>
      <c r="I27" s="194"/>
      <c r="J27" s="284">
        <f>AVERAGE(D81:INDEX(D81:H81,0,MATCH(Data!$B$3,$D$7:$H$7,0)))/AVERAGE($D$90:INDEX($D$90:$H$90,0,MATCH(Data!$B$3,$D$7:$H$7,0)))</f>
        <v>0</v>
      </c>
      <c r="K27" s="285">
        <f t="shared" si="9"/>
        <v>0</v>
      </c>
    </row>
    <row r="28" spans="2:11" s="104" customFormat="1" ht="11.4">
      <c r="B28" s="369" t="str">
        <f>GD!B28</f>
        <v>Penalties and fines (Other Activities)</v>
      </c>
      <c r="C28" s="370" t="s">
        <v>163</v>
      </c>
      <c r="D28" s="282">
        <f t="shared" ref="D28:H28" si="12">D82/D$90</f>
        <v>-3.1182571555503466E-4</v>
      </c>
      <c r="E28" s="283">
        <f t="shared" si="12"/>
        <v>-4.2367803112612086E-4</v>
      </c>
      <c r="F28" s="283">
        <f t="shared" si="12"/>
        <v>-2.9209084671169908E-4</v>
      </c>
      <c r="G28" s="283">
        <f t="shared" si="12"/>
        <v>-2.795788924581671E-4</v>
      </c>
      <c r="H28" s="283">
        <f t="shared" si="12"/>
        <v>-2.7065645049159995E-4</v>
      </c>
      <c r="I28" s="194"/>
      <c r="J28" s="284">
        <f>AVERAGE(D82:INDEX(D82:H82,0,MATCH(Data!$B$3,$D$7:$H$7,0)))/AVERAGE($D$90:INDEX($D$90:$H$90,0,MATCH(Data!$B$3,$D$7:$H$7,0)))</f>
        <v>-3.4239960757754319E-4</v>
      </c>
      <c r="K28" s="285">
        <f t="shared" si="9"/>
        <v>-3.1489250442158219E-4</v>
      </c>
    </row>
    <row r="29" spans="2:11" s="104" customFormat="1" ht="11.4">
      <c r="B29" s="372" t="str">
        <f>GD!B29</f>
        <v>RoRE - Operational performance</v>
      </c>
      <c r="C29" s="370" t="s">
        <v>163</v>
      </c>
      <c r="D29" s="324">
        <f>SUM(D11:D28)</f>
        <v>6.84335182636749E-2</v>
      </c>
      <c r="E29" s="324">
        <f t="shared" ref="E29:H29" si="13">SUM(E11:E28)</f>
        <v>5.0039062335434772E-2</v>
      </c>
      <c r="F29" s="324">
        <f t="shared" si="13"/>
        <v>3.4925707233700823E-2</v>
      </c>
      <c r="G29" s="324">
        <f t="shared" si="13"/>
        <v>2.3271347209446753E-2</v>
      </c>
      <c r="H29" s="324">
        <f t="shared" si="13"/>
        <v>3.3333474862820608E-2</v>
      </c>
      <c r="I29" s="287"/>
      <c r="J29" s="324">
        <f>SUM(J11:J28)</f>
        <v>5.1016734511940248E-2</v>
      </c>
      <c r="K29" s="323">
        <f>SUM(K11:K28)</f>
        <v>4.1752981521079674E-2</v>
      </c>
    </row>
    <row r="30" spans="2:11" s="104" customFormat="1" ht="11.4">
      <c r="B30" s="369" t="str">
        <f>GD!B30</f>
        <v>Debt performance - at notional gearing</v>
      </c>
      <c r="C30" s="370" t="s">
        <v>163</v>
      </c>
      <c r="D30" s="282">
        <f>(D84)/D$90</f>
        <v>-1.5165572081490265E-2</v>
      </c>
      <c r="E30" s="283">
        <f t="shared" ref="E30:H30" si="14">(E84)/E$90</f>
        <v>-6.04582258538316E-2</v>
      </c>
      <c r="F30" s="283">
        <f t="shared" si="14"/>
        <v>-8.6972481577290109E-2</v>
      </c>
      <c r="G30" s="283">
        <f t="shared" si="14"/>
        <v>-1.3059357942159528E-2</v>
      </c>
      <c r="H30" s="283">
        <f t="shared" si="14"/>
        <v>-1.8309396006293228E-2</v>
      </c>
      <c r="I30" s="194"/>
      <c r="J30" s="284">
        <f>AVERAGE(D84:INDEX(D84:H84,0,MATCH(Data!$B$3,$D$7:$H$7,0)))/AVERAGE($D$90:INDEX($D$90:$H$90,0,MATCH(Data!$B$3,$D$7:$H$7,0)))</f>
        <v>-5.4444362711157698E-2</v>
      </c>
      <c r="K30" s="285">
        <f>AVERAGE(D84:H84)/AVERAGE($D$90:$H$90)</f>
        <v>-3.8615962688810603E-2</v>
      </c>
    </row>
    <row r="31" spans="2:11" s="104" customFormat="1" ht="11.4">
      <c r="B31" s="369" t="str">
        <f>GD!B31</f>
        <v>Tax performance - at notional gearing</v>
      </c>
      <c r="C31" s="370" t="s">
        <v>163</v>
      </c>
      <c r="D31" s="282">
        <f>(D86)/D$90</f>
        <v>1.7757198190973128E-2</v>
      </c>
      <c r="E31" s="283">
        <f t="shared" ref="E31:H31" si="15">(E86)/E$90</f>
        <v>6.9844980674456632E-3</v>
      </c>
      <c r="F31" s="283">
        <f t="shared" si="15"/>
        <v>1.3227544640634513E-2</v>
      </c>
      <c r="G31" s="283">
        <f t="shared" si="15"/>
        <v>1.8992335737854121E-2</v>
      </c>
      <c r="H31" s="283">
        <f t="shared" si="15"/>
        <v>2.0687493008139726E-2</v>
      </c>
      <c r="I31" s="194"/>
      <c r="J31" s="284">
        <f>AVERAGE(D86:INDEX(D86:H86,0,MATCH(Data!$B$3,$D$7:$H$7,0)))/AVERAGE($D$90:INDEX($D$90:$H$90,0,MATCH(Data!$B$3,$D$7:$H$7,0)))</f>
        <v>1.2645023347310571E-2</v>
      </c>
      <c r="K31" s="285">
        <f>AVERAGE(D86:H86)/AVERAGE($D$90:$H$90)</f>
        <v>1.5587817277747058E-2</v>
      </c>
    </row>
    <row r="32" spans="2:11" s="104" customFormat="1" ht="11.4">
      <c r="B32" s="372" t="str">
        <f>GD!B32</f>
        <v>RoRE - including financing and tax</v>
      </c>
      <c r="C32" s="370" t="s">
        <v>163</v>
      </c>
      <c r="D32" s="151">
        <f>SUM(D29:D31)</f>
        <v>7.1025144373157767E-2</v>
      </c>
      <c r="E32" s="325">
        <f t="shared" ref="E32:H32" si="16">SUM(E29:E31)</f>
        <v>-3.4346654509511644E-3</v>
      </c>
      <c r="F32" s="325">
        <f t="shared" si="16"/>
        <v>-3.8819229702954774E-2</v>
      </c>
      <c r="G32" s="325">
        <f t="shared" si="16"/>
        <v>2.9204325005141345E-2</v>
      </c>
      <c r="H32" s="325">
        <f t="shared" si="16"/>
        <v>3.5711571864667106E-2</v>
      </c>
      <c r="I32" s="287"/>
      <c r="J32" s="151">
        <f>SUM(J29:J31)</f>
        <v>9.2173951480931209E-3</v>
      </c>
      <c r="K32" s="323">
        <f>SUM(K29:K31)</f>
        <v>1.872483611001613E-2</v>
      </c>
    </row>
    <row r="33" spans="2:13" s="104" customFormat="1" ht="11.4">
      <c r="B33" s="308"/>
    </row>
    <row r="34" spans="2:13" s="104" customFormat="1" ht="11.4">
      <c r="B34" s="308"/>
    </row>
    <row r="35" spans="2:13" s="104" customFormat="1" ht="11.4">
      <c r="B35" s="308"/>
    </row>
    <row r="36" spans="2:13" s="104" customFormat="1" ht="11.4">
      <c r="B36" s="366" t="s">
        <v>57</v>
      </c>
      <c r="C36" s="367"/>
      <c r="D36" s="367"/>
      <c r="E36" s="367"/>
      <c r="F36" s="367"/>
      <c r="G36" s="367"/>
      <c r="H36" s="367"/>
      <c r="I36" s="368"/>
      <c r="J36" s="367"/>
      <c r="K36" s="367"/>
      <c r="L36" s="367"/>
    </row>
    <row r="37" spans="2:13" s="104" customFormat="1" ht="11.4">
      <c r="B37" s="147"/>
      <c r="I37" s="345"/>
    </row>
    <row r="38" spans="2:13" s="104" customFormat="1" ht="11.4">
      <c r="B38" s="369" t="str">
        <f>GD!B38</f>
        <v>Allowed Equity Return</v>
      </c>
      <c r="C38" s="370" t="s">
        <v>163</v>
      </c>
      <c r="D38" s="282">
        <f t="shared" ref="D38:H47" si="17">D65/D$91</f>
        <v>4.8101794032841316E-2</v>
      </c>
      <c r="E38" s="283">
        <f t="shared" si="17"/>
        <v>4.5079321072028014E-2</v>
      </c>
      <c r="F38" s="283">
        <f t="shared" si="17"/>
        <v>4.4907843724588739E-2</v>
      </c>
      <c r="G38" s="283">
        <f t="shared" si="17"/>
        <v>4.7748007076516566E-2</v>
      </c>
      <c r="H38" s="283">
        <f t="shared" si="17"/>
        <v>5.338497042960208E-2</v>
      </c>
      <c r="I38" s="194"/>
      <c r="J38" s="284">
        <f>AVERAGE(D65:INDEX(D65:H65,0,MATCH(Data!$B$3,$D$7:$H$7,0)))/AVERAGE($D$91:INDEX($D$91:$H$91,0,MATCH(Data!$B$3,$D$7:$H$7,0)))</f>
        <v>4.5912599673397211E-2</v>
      </c>
      <c r="K38" s="285">
        <f t="shared" ref="K38:K47" si="18">AVERAGE(D65:H65)/AVERAGE($D$91:$H$91)</f>
        <v>4.7811886892003497E-2</v>
      </c>
      <c r="M38" s="374"/>
    </row>
    <row r="39" spans="2:13" s="104" customFormat="1" ht="11.4">
      <c r="B39" s="369" t="str">
        <f>GD!B39</f>
        <v>Totex outperformance</v>
      </c>
      <c r="C39" s="370" t="s">
        <v>163</v>
      </c>
      <c r="D39" s="282">
        <f t="shared" si="17"/>
        <v>2.3421423336451634E-2</v>
      </c>
      <c r="E39" s="283">
        <f t="shared" si="17"/>
        <v>3.4712719438957087E-3</v>
      </c>
      <c r="F39" s="283">
        <f t="shared" si="17"/>
        <v>-1.6199602950252572E-2</v>
      </c>
      <c r="G39" s="283">
        <f t="shared" si="17"/>
        <v>-2.8528870751966279E-2</v>
      </c>
      <c r="H39" s="283">
        <f t="shared" si="17"/>
        <v>-2.1880054575649999E-2</v>
      </c>
      <c r="I39" s="194"/>
      <c r="J39" s="284">
        <f>AVERAGE(D66:INDEX(D66:H66,0,MATCH(Data!$B$3,$D$7:$H$7,0)))/AVERAGE($D$91:INDEX($D$91:$H$91,0,MATCH(Data!$B$3,$D$7:$H$7,0)))</f>
        <v>1.9228560817020617E-3</v>
      </c>
      <c r="K39" s="285">
        <f t="shared" si="18"/>
        <v>-9.5944190049853852E-3</v>
      </c>
    </row>
    <row r="40" spans="2:13" s="104" customFormat="1" ht="11.4">
      <c r="B40" s="369" t="str">
        <f>GD!B40</f>
        <v>Business Plan Incentive</v>
      </c>
      <c r="C40" s="370" t="s">
        <v>163</v>
      </c>
      <c r="D40" s="282">
        <f t="shared" si="17"/>
        <v>0</v>
      </c>
      <c r="E40" s="283">
        <f t="shared" si="17"/>
        <v>0</v>
      </c>
      <c r="F40" s="283">
        <f t="shared" si="17"/>
        <v>0</v>
      </c>
      <c r="G40" s="283">
        <f t="shared" si="17"/>
        <v>0</v>
      </c>
      <c r="H40" s="283">
        <f t="shared" si="17"/>
        <v>0</v>
      </c>
      <c r="I40" s="194"/>
      <c r="J40" s="284">
        <f>AVERAGE(D67:INDEX(D67:H67,0,MATCH(Data!$B$3,$D$7:$H$7,0)))/AVERAGE($D$91:INDEX($D$91:$H$91,0,MATCH(Data!$B$3,$D$7:$H$7,0)))</f>
        <v>0</v>
      </c>
      <c r="K40" s="285">
        <f t="shared" si="18"/>
        <v>0</v>
      </c>
    </row>
    <row r="41" spans="2:13" s="104" customFormat="1" ht="11.4">
      <c r="B41" s="369" t="str">
        <f>GD!B41</f>
        <v>Customer Satisfaction Survey ODI</v>
      </c>
      <c r="C41" s="370" t="s">
        <v>163</v>
      </c>
      <c r="D41" s="282">
        <f t="shared" si="17"/>
        <v>1.3283145500190561E-3</v>
      </c>
      <c r="E41" s="283">
        <f t="shared" si="17"/>
        <v>1.1188291588120191E-3</v>
      </c>
      <c r="F41" s="283">
        <f t="shared" si="17"/>
        <v>1.0956714966370805E-3</v>
      </c>
      <c r="G41" s="283">
        <f t="shared" si="17"/>
        <v>1.4228334187526997E-3</v>
      </c>
      <c r="H41" s="283">
        <f t="shared" si="17"/>
        <v>1.5839339940743047E-3</v>
      </c>
      <c r="I41" s="194"/>
      <c r="J41" s="284">
        <f>AVERAGE(D68:INDEX(D68:H68,0,MATCH(Data!$B$3,$D$7:$H$7,0)))/AVERAGE($D$91:INDEX($D$91:$H$91,0,MATCH(Data!$B$3,$D$7:$H$7,0)))</f>
        <v>1.1722971974671974E-3</v>
      </c>
      <c r="K41" s="285">
        <f t="shared" si="18"/>
        <v>1.3101271695219493E-3</v>
      </c>
    </row>
    <row r="42" spans="2:13" s="104" customFormat="1" ht="11.4">
      <c r="B42" s="369" t="str">
        <f>GD!B42</f>
        <v>Complaints metric ODI</v>
      </c>
      <c r="C42" s="370" t="s">
        <v>163</v>
      </c>
      <c r="D42" s="282">
        <f t="shared" si="17"/>
        <v>0</v>
      </c>
      <c r="E42" s="283">
        <f t="shared" si="17"/>
        <v>0</v>
      </c>
      <c r="F42" s="283">
        <f t="shared" si="17"/>
        <v>0</v>
      </c>
      <c r="G42" s="283">
        <f t="shared" si="17"/>
        <v>0</v>
      </c>
      <c r="H42" s="283">
        <f t="shared" si="17"/>
        <v>0</v>
      </c>
      <c r="I42" s="194"/>
      <c r="J42" s="284">
        <f>AVERAGE(D69:INDEX(D69:H69,0,MATCH(Data!$B$3,$D$7:$H$7,0)))/AVERAGE($D$91:INDEX($D$91:$H$91,0,MATCH(Data!$B$3,$D$7:$H$7,0)))</f>
        <v>0</v>
      </c>
      <c r="K42" s="285">
        <f t="shared" si="18"/>
        <v>0</v>
      </c>
    </row>
    <row r="43" spans="2:13" s="104" customFormat="1" ht="11.4">
      <c r="B43" s="369" t="str">
        <f>GD!B43</f>
        <v>Unplanned Interruption Mean Duration ODI [NGN, SGN and WWU]</v>
      </c>
      <c r="C43" s="370" t="s">
        <v>163</v>
      </c>
      <c r="D43" s="282">
        <f t="shared" si="17"/>
        <v>0</v>
      </c>
      <c r="E43" s="283">
        <f t="shared" si="17"/>
        <v>0</v>
      </c>
      <c r="F43" s="283">
        <f t="shared" si="17"/>
        <v>0</v>
      </c>
      <c r="G43" s="283">
        <f t="shared" si="17"/>
        <v>0</v>
      </c>
      <c r="H43" s="283">
        <f t="shared" si="17"/>
        <v>0</v>
      </c>
      <c r="I43" s="194"/>
      <c r="J43" s="284">
        <f>AVERAGE(D70:INDEX(D70:H70,0,MATCH(Data!$B$3,$D$7:$H$7,0)))/AVERAGE($D$91:INDEX($D$91:$H$91,0,MATCH(Data!$B$3,$D$7:$H$7,0)))</f>
        <v>0</v>
      </c>
      <c r="K43" s="285">
        <f t="shared" si="18"/>
        <v>0</v>
      </c>
    </row>
    <row r="44" spans="2:13" s="104" customFormat="1" ht="11.4">
      <c r="B44" s="369" t="str">
        <f>GD!B44</f>
        <v>Unplanned Interruption Mean Duration ODI [Cadent only]</v>
      </c>
      <c r="C44" s="370" t="s">
        <v>163</v>
      </c>
      <c r="D44" s="282">
        <f t="shared" si="17"/>
        <v>0</v>
      </c>
      <c r="E44" s="283">
        <f t="shared" si="17"/>
        <v>0</v>
      </c>
      <c r="F44" s="283">
        <f t="shared" si="17"/>
        <v>0</v>
      </c>
      <c r="G44" s="283">
        <f t="shared" si="17"/>
        <v>0</v>
      </c>
      <c r="H44" s="283">
        <f t="shared" si="17"/>
        <v>0</v>
      </c>
      <c r="I44" s="194"/>
      <c r="J44" s="284">
        <f>AVERAGE(D71:INDEX(D71:H71,0,MATCH(Data!$B$3,$D$7:$H$7,0)))/AVERAGE($D$91:INDEX($D$91:$H$91,0,MATCH(Data!$B$3,$D$7:$H$7,0)))</f>
        <v>0</v>
      </c>
      <c r="K44" s="285">
        <f t="shared" si="18"/>
        <v>0</v>
      </c>
    </row>
    <row r="45" spans="2:13" s="104" customFormat="1" ht="11.4">
      <c r="B45" s="369" t="str">
        <f>GD!B45</f>
        <v>Shrinkage Management ODI</v>
      </c>
      <c r="C45" s="370" t="s">
        <v>163</v>
      </c>
      <c r="D45" s="282">
        <f t="shared" si="17"/>
        <v>5.0229525863247344E-4</v>
      </c>
      <c r="E45" s="283">
        <f t="shared" si="17"/>
        <v>4.090638789125522E-4</v>
      </c>
      <c r="F45" s="283">
        <f t="shared" si="17"/>
        <v>3.2690887755914985E-4</v>
      </c>
      <c r="G45" s="283">
        <f t="shared" si="17"/>
        <v>0</v>
      </c>
      <c r="H45" s="283">
        <f t="shared" si="17"/>
        <v>0</v>
      </c>
      <c r="I45" s="194"/>
      <c r="J45" s="284">
        <f>AVERAGE(D72:INDEX(D72:H72,0,MATCH(Data!$B$3,$D$7:$H$7,0)))/AVERAGE($D$91:INDEX($D$91:$H$91,0,MATCH(Data!$B$3,$D$7:$H$7,0)))</f>
        <v>4.0554284108639042E-4</v>
      </c>
      <c r="K45" s="285">
        <f t="shared" si="18"/>
        <v>2.3448722901943703E-4</v>
      </c>
    </row>
    <row r="46" spans="2:13" s="104" customFormat="1" ht="11.4">
      <c r="B46" s="369" t="str">
        <f>GD!B46</f>
        <v>Collaborative streetworks ODI [Cadent Lon &amp; EoE, SGN So only]</v>
      </c>
      <c r="C46" s="370" t="s">
        <v>163</v>
      </c>
      <c r="D46" s="282">
        <f t="shared" si="17"/>
        <v>0</v>
      </c>
      <c r="E46" s="283">
        <f t="shared" si="17"/>
        <v>0</v>
      </c>
      <c r="F46" s="283">
        <f t="shared" si="17"/>
        <v>0</v>
      </c>
      <c r="G46" s="283">
        <f t="shared" si="17"/>
        <v>0</v>
      </c>
      <c r="H46" s="283">
        <f t="shared" si="17"/>
        <v>0</v>
      </c>
      <c r="I46" s="194"/>
      <c r="J46" s="284">
        <f>AVERAGE(D73:INDEX(D73:H73,0,MATCH(Data!$B$3,$D$7:$H$7,0)))/AVERAGE($D$91:INDEX($D$91:$H$91,0,MATCH(Data!$B$3,$D$7:$H$7,0)))</f>
        <v>0</v>
      </c>
      <c r="K46" s="285">
        <f t="shared" si="18"/>
        <v>0</v>
      </c>
    </row>
    <row r="47" spans="2:13" s="104" customFormat="1" ht="11.4">
      <c r="B47" s="369" t="str">
        <f>GD!B47</f>
        <v>Network innovation input for RORE</v>
      </c>
      <c r="C47" s="370" t="s">
        <v>163</v>
      </c>
      <c r="D47" s="282">
        <f t="shared" si="17"/>
        <v>-1.1121743313488204E-4</v>
      </c>
      <c r="E47" s="283">
        <f t="shared" si="17"/>
        <v>-1.4430648422160996E-4</v>
      </c>
      <c r="F47" s="283">
        <f t="shared" si="17"/>
        <v>-1.4582505972461786E-4</v>
      </c>
      <c r="G47" s="283">
        <f t="shared" si="17"/>
        <v>-5.1667992156631982E-4</v>
      </c>
      <c r="H47" s="283">
        <f t="shared" si="17"/>
        <v>-5.7518110063928848E-4</v>
      </c>
      <c r="I47" s="194"/>
      <c r="J47" s="284">
        <f>AVERAGE(D74:INDEX(D74:H74,0,MATCH(Data!$B$3,$D$7:$H$7,0)))/AVERAGE($D$91:INDEX($D$91:$H$91,0,MATCH(Data!$B$3,$D$7:$H$7,0)))</f>
        <v>-1.3504764183688056E-4</v>
      </c>
      <c r="K47" s="285">
        <f t="shared" si="18"/>
        <v>-3.076945995396303E-4</v>
      </c>
    </row>
    <row r="48" spans="2:13" s="104" customFormat="1" ht="11.4">
      <c r="B48" s="369" t="str">
        <f>GD!B48</f>
        <v>Carry-over Network innovation input for RORE</v>
      </c>
      <c r="C48" s="370" t="s">
        <v>163</v>
      </c>
      <c r="D48" s="282">
        <f t="shared" ref="D48:H48" si="19">D75/D$91</f>
        <v>-5.4546219837149064E-5</v>
      </c>
      <c r="E48" s="283">
        <f t="shared" si="19"/>
        <v>0</v>
      </c>
      <c r="F48" s="283">
        <f t="shared" si="19"/>
        <v>0</v>
      </c>
      <c r="G48" s="283">
        <f t="shared" si="19"/>
        <v>0</v>
      </c>
      <c r="H48" s="283">
        <f t="shared" si="19"/>
        <v>0</v>
      </c>
      <c r="I48" s="194"/>
      <c r="J48" s="284">
        <f>AVERAGE(D75:INDEX(D75:H75,0,MATCH(Data!$B$3,$D$7:$H$7,0)))/AVERAGE($D$91:INDEX($D$91:$H$91,0,MATCH(Data!$B$3,$D$7:$H$7,0)))</f>
        <v>-1.6214665461757887E-5</v>
      </c>
      <c r="K48" s="285">
        <f t="shared" ref="K48:K51" si="20">AVERAGE(D75:H75)/AVERAGE($D$91:$H$91)</f>
        <v>-9.3754138611334308E-6</v>
      </c>
    </row>
    <row r="49" spans="2:12" s="104" customFormat="1" ht="11.4">
      <c r="B49" s="369" t="str">
        <f>GD!B49</f>
        <v>Strategic innovation input for RORE</v>
      </c>
      <c r="C49" s="370" t="s">
        <v>163</v>
      </c>
      <c r="D49" s="282">
        <f t="shared" ref="D49:H49" si="21">D76/D$91</f>
        <v>0</v>
      </c>
      <c r="E49" s="283">
        <f t="shared" si="21"/>
        <v>-1.272518464181799E-5</v>
      </c>
      <c r="F49" s="283">
        <f t="shared" si="21"/>
        <v>-5.0540078495797252E-5</v>
      </c>
      <c r="G49" s="283">
        <f t="shared" si="21"/>
        <v>0</v>
      </c>
      <c r="H49" s="283">
        <f t="shared" si="21"/>
        <v>0</v>
      </c>
      <c r="I49" s="194"/>
      <c r="J49" s="284">
        <f>AVERAGE(D76:INDEX(D76:H76,0,MATCH(Data!$B$3,$D$7:$H$7,0)))/AVERAGE($D$91:INDEX($D$91:$H$91,0,MATCH(Data!$B$3,$D$7:$H$7,0)))</f>
        <v>-2.3319707041442617E-5</v>
      </c>
      <c r="K49" s="285">
        <f t="shared" si="20"/>
        <v>-1.3483590219579488E-5</v>
      </c>
    </row>
    <row r="50" spans="2:12" s="104" customFormat="1" ht="11.4">
      <c r="B50" s="369" t="str">
        <f>GD!B50</f>
        <v>H100 shareholder contribution</v>
      </c>
      <c r="C50" s="370" t="s">
        <v>163</v>
      </c>
      <c r="D50" s="282">
        <f t="shared" ref="D50:H50" si="22">D77/D$91</f>
        <v>0</v>
      </c>
      <c r="E50" s="283">
        <f t="shared" si="22"/>
        <v>0</v>
      </c>
      <c r="F50" s="283">
        <f t="shared" si="22"/>
        <v>0</v>
      </c>
      <c r="G50" s="283">
        <f t="shared" si="22"/>
        <v>0</v>
      </c>
      <c r="H50" s="283">
        <f t="shared" si="22"/>
        <v>0</v>
      </c>
      <c r="I50" s="194"/>
      <c r="J50" s="284">
        <f>AVERAGE(D77:INDEX(D77:H77,0,MATCH(Data!$B$3,$D$7:$H$7,0)))/AVERAGE($D$91:INDEX($D$91:$H$91,0,MATCH(Data!$B$3,$D$7:$H$7,0)))</f>
        <v>0</v>
      </c>
      <c r="K50" s="285">
        <f t="shared" si="20"/>
        <v>0</v>
      </c>
    </row>
    <row r="51" spans="2:12" s="104" customFormat="1" ht="11.4">
      <c r="B51" s="369" t="str">
        <f>GD!B51</f>
        <v>LTS shareholder contribution</v>
      </c>
      <c r="C51" s="370" t="s">
        <v>163</v>
      </c>
      <c r="D51" s="282">
        <f t="shared" ref="D51:H51" si="23">D78/D$91</f>
        <v>0</v>
      </c>
      <c r="E51" s="283">
        <f t="shared" si="23"/>
        <v>0</v>
      </c>
      <c r="F51" s="283">
        <f t="shared" si="23"/>
        <v>0</v>
      </c>
      <c r="G51" s="283">
        <f t="shared" si="23"/>
        <v>0</v>
      </c>
      <c r="H51" s="283">
        <f t="shared" si="23"/>
        <v>0</v>
      </c>
      <c r="I51" s="194"/>
      <c r="J51" s="284">
        <f>AVERAGE(D78:INDEX(D78:H78,0,MATCH(Data!$B$3,$D$7:$H$7,0)))/AVERAGE($D$91:INDEX($D$91:$H$91,0,MATCH(Data!$B$3,$D$7:$H$7,0)))</f>
        <v>0</v>
      </c>
      <c r="K51" s="285">
        <f t="shared" si="20"/>
        <v>0</v>
      </c>
    </row>
    <row r="52" spans="2:12" s="104" customFormat="1" ht="11.4">
      <c r="B52" s="369" t="str">
        <f>GD!B52</f>
        <v/>
      </c>
      <c r="C52" s="370" t="s">
        <v>163</v>
      </c>
      <c r="D52" s="282">
        <f t="shared" ref="D52:H52" si="24">D79/D$91</f>
        <v>0</v>
      </c>
      <c r="E52" s="283">
        <f t="shared" si="24"/>
        <v>0</v>
      </c>
      <c r="F52" s="283">
        <f t="shared" si="24"/>
        <v>0</v>
      </c>
      <c r="G52" s="283">
        <f t="shared" si="24"/>
        <v>0</v>
      </c>
      <c r="H52" s="283">
        <f t="shared" si="24"/>
        <v>0</v>
      </c>
      <c r="I52" s="194"/>
      <c r="J52" s="284">
        <f>AVERAGE(D79:INDEX(D79:H79,0,MATCH(Data!$B$3,$D$7:$H$7,0)))/AVERAGE($D$91:INDEX($D$91:$H$91,0,MATCH(Data!$B$3,$D$7:$H$7,0)))</f>
        <v>0</v>
      </c>
      <c r="K52" s="285">
        <f t="shared" ref="K52:K55" si="25">AVERAGE(D79:H79)/AVERAGE($D$91:$H$91)</f>
        <v>0</v>
      </c>
    </row>
    <row r="53" spans="2:12" s="104" customFormat="1" ht="11.4">
      <c r="B53" s="369" t="str">
        <f>GD!B53</f>
        <v/>
      </c>
      <c r="C53" s="370" t="s">
        <v>163</v>
      </c>
      <c r="D53" s="282">
        <f t="shared" ref="D53:H53" si="26">D80/D$91</f>
        <v>0</v>
      </c>
      <c r="E53" s="283">
        <f t="shared" si="26"/>
        <v>0</v>
      </c>
      <c r="F53" s="283">
        <f t="shared" si="26"/>
        <v>0</v>
      </c>
      <c r="G53" s="283">
        <f t="shared" si="26"/>
        <v>0</v>
      </c>
      <c r="H53" s="283">
        <f t="shared" si="26"/>
        <v>0</v>
      </c>
      <c r="I53" s="194"/>
      <c r="J53" s="284">
        <f>AVERAGE(D80:INDEX(D80:H80,0,MATCH(Data!$B$3,$D$7:$H$7,0)))/AVERAGE($D$91:INDEX($D$91:$H$91,0,MATCH(Data!$B$3,$D$7:$H$7,0)))</f>
        <v>0</v>
      </c>
      <c r="K53" s="285">
        <f t="shared" si="25"/>
        <v>0</v>
      </c>
    </row>
    <row r="54" spans="2:12" s="104" customFormat="1" ht="11.4">
      <c r="B54" s="369" t="str">
        <f>GD!B54</f>
        <v/>
      </c>
      <c r="C54" s="370" t="s">
        <v>163</v>
      </c>
      <c r="D54" s="282">
        <f t="shared" ref="D54:H54" si="27">D81/D$91</f>
        <v>0</v>
      </c>
      <c r="E54" s="283">
        <f t="shared" si="27"/>
        <v>0</v>
      </c>
      <c r="F54" s="283">
        <f t="shared" si="27"/>
        <v>0</v>
      </c>
      <c r="G54" s="283">
        <f t="shared" si="27"/>
        <v>0</v>
      </c>
      <c r="H54" s="283">
        <f t="shared" si="27"/>
        <v>0</v>
      </c>
      <c r="I54" s="194"/>
      <c r="J54" s="284">
        <f>AVERAGE(D81:INDEX(D81:H81,0,MATCH(Data!$B$3,$D$7:$H$7,0)))/AVERAGE($D$91:INDEX($D$91:$H$91,0,MATCH(Data!$B$3,$D$7:$H$7,0)))</f>
        <v>0</v>
      </c>
      <c r="K54" s="285">
        <f t="shared" si="25"/>
        <v>0</v>
      </c>
    </row>
    <row r="55" spans="2:12" s="104" customFormat="1" ht="11.4">
      <c r="B55" s="369" t="str">
        <f>GD!B55</f>
        <v>Penalties and fines (Other Activities)</v>
      </c>
      <c r="C55" s="370" t="s">
        <v>163</v>
      </c>
      <c r="D55" s="282">
        <f t="shared" ref="D55:H55" si="28">D82/D$91</f>
        <v>-3.3197768689115974E-4</v>
      </c>
      <c r="E55" s="283">
        <f t="shared" si="28"/>
        <v>-4.191334705777008E-4</v>
      </c>
      <c r="F55" s="283">
        <f t="shared" si="28"/>
        <v>-2.4827164327372167E-4</v>
      </c>
      <c r="G55" s="283">
        <f t="shared" si="28"/>
        <v>-2.3891231344425358E-4</v>
      </c>
      <c r="H55" s="283">
        <f t="shared" si="28"/>
        <v>-2.6187358017320145E-4</v>
      </c>
      <c r="I55" s="194"/>
      <c r="J55" s="284">
        <f>AVERAGE(D82:INDEX(D82:H82,0,MATCH(Data!$B$3,$D$7:$H$7,0)))/AVERAGE($D$91:INDEX($D$91:$H$91,0,MATCH(Data!$B$3,$D$7:$H$7,0)))</f>
        <v>-3.2826324985203931E-4</v>
      </c>
      <c r="K55" s="285">
        <f t="shared" si="25"/>
        <v>-2.9515855287339584E-4</v>
      </c>
    </row>
    <row r="56" spans="2:12" s="104" customFormat="1" ht="11.4">
      <c r="B56" s="372" t="str">
        <f>GD!B56</f>
        <v>RoRE - Operational performance</v>
      </c>
      <c r="C56" s="370" t="s">
        <v>163</v>
      </c>
      <c r="D56" s="324">
        <f>SUM(D38:D55)</f>
        <v>7.2856085838081286E-2</v>
      </c>
      <c r="E56" s="324">
        <f t="shared" ref="E56:H56" si="29">SUM(E38:E55)</f>
        <v>4.9502320914207164E-2</v>
      </c>
      <c r="F56" s="324">
        <f t="shared" si="29"/>
        <v>2.9686184367038265E-2</v>
      </c>
      <c r="G56" s="324">
        <f t="shared" si="29"/>
        <v>1.9886377508292415E-2</v>
      </c>
      <c r="H56" s="324">
        <f t="shared" si="29"/>
        <v>3.2251795167213895E-2</v>
      </c>
      <c r="I56" s="287"/>
      <c r="J56" s="324">
        <f>SUM(J38:J55)</f>
        <v>4.8910450529460747E-2</v>
      </c>
      <c r="K56" s="323">
        <f>SUM(K38:K55)</f>
        <v>3.9136370129065755E-2</v>
      </c>
    </row>
    <row r="57" spans="2:12" s="104" customFormat="1" ht="11.4">
      <c r="B57" s="369" t="str">
        <f>GD!B57</f>
        <v>Debt performance - at actual gearing</v>
      </c>
      <c r="C57" s="370" t="s">
        <v>163</v>
      </c>
      <c r="D57" s="282">
        <f>(D84+D85)/D$91</f>
        <v>-1.8162652945498885E-2</v>
      </c>
      <c r="E57" s="283">
        <f t="shared" ref="E57:H57" si="30">(E84+E85)/E$91</f>
        <v>-5.9167150729245964E-2</v>
      </c>
      <c r="F57" s="283">
        <f t="shared" si="30"/>
        <v>-6.2256215791326036E-2</v>
      </c>
      <c r="G57" s="283">
        <f t="shared" si="30"/>
        <v>-6.7370025534168407E-3</v>
      </c>
      <c r="H57" s="283">
        <f t="shared" si="30"/>
        <v>-1.6556574168228276E-2</v>
      </c>
      <c r="I57" s="194"/>
      <c r="J57" s="284">
        <f>(AVERAGE(D84:INDEX(D84:H84,0,MATCH(Data!$B$3,$D$7:$H$7,0)))+AVERAGE(D85:INDEX(D85:H85,0,MATCH(Data!$B$3,$D$7:$H$7,0))))/AVERAGE($D$91:INDEX($D$91:$H$91,0,MATCH(Data!$B$3,$D$7:$H$7,0)))</f>
        <v>-4.8152427607603465E-2</v>
      </c>
      <c r="K57" s="285">
        <f>(AVERAGE(D84:H84)+AVERAGE(D85:H85))/AVERAGE($D$91:$H$91)</f>
        <v>-3.2643602807664658E-2</v>
      </c>
    </row>
    <row r="58" spans="2:12" s="104" customFormat="1" ht="11.4">
      <c r="B58" s="369" t="str">
        <f>GD!B58</f>
        <v>Tax performance - at actual gearing</v>
      </c>
      <c r="C58" s="370" t="s">
        <v>163</v>
      </c>
      <c r="D58" s="282">
        <f>(D86+D87)/D$91</f>
        <v>1.9287999405415399E-2</v>
      </c>
      <c r="E58" s="283">
        <f t="shared" ref="E58:H58" si="31">(E86+E87)/E$91</f>
        <v>6.7874903233487794E-3</v>
      </c>
      <c r="F58" s="283">
        <f t="shared" si="31"/>
        <v>8.3259771316937931E-3</v>
      </c>
      <c r="G58" s="283">
        <f t="shared" si="31"/>
        <v>1.5124079665820762E-2</v>
      </c>
      <c r="H58" s="283">
        <f t="shared" si="31"/>
        <v>1.9726509298323525E-2</v>
      </c>
      <c r="I58" s="194"/>
      <c r="J58" s="284">
        <f>(AVERAGE(D86:INDEX(D86:H86,0,MATCH(Data!$B$3,$D$7:$H$7,0)))+AVERAGE(D87:INDEX(D87:H87,0,MATCH(Data!$B$3,$D$7:$H$7,0))))/AVERAGE($D$91:INDEX($D$91:$H$91,0,MATCH(Data!$B$3,$D$7:$H$7,0)))</f>
        <v>1.1088384989756388E-2</v>
      </c>
      <c r="K58" s="285">
        <f>(AVERAGE(D86:H86)+AVERAGE(D87:H87))/AVERAGE($D$91:$H$91)</f>
        <v>1.370925037722248E-2</v>
      </c>
    </row>
    <row r="59" spans="2:12" s="104" customFormat="1" ht="11.4">
      <c r="B59" s="372" t="str">
        <f>GD!B59</f>
        <v>RoRE - including financing and tax</v>
      </c>
      <c r="C59" s="370" t="s">
        <v>163</v>
      </c>
      <c r="D59" s="151">
        <f>SUM(D56:D58)</f>
        <v>7.3981432297997793E-2</v>
      </c>
      <c r="E59" s="325">
        <f t="shared" ref="E59:H59" si="32">SUM(E56:E58)</f>
        <v>-2.8773394916900208E-3</v>
      </c>
      <c r="F59" s="325">
        <f t="shared" si="32"/>
        <v>-2.4244054292593978E-2</v>
      </c>
      <c r="G59" s="325">
        <f t="shared" si="32"/>
        <v>2.8273454620696338E-2</v>
      </c>
      <c r="H59" s="325">
        <f t="shared" si="32"/>
        <v>3.5421730297309148E-2</v>
      </c>
      <c r="I59" s="287"/>
      <c r="J59" s="151">
        <f>SUM(J56:J58)</f>
        <v>1.184640791161367E-2</v>
      </c>
      <c r="K59" s="323">
        <f>SUM(K56:K58)</f>
        <v>2.0202017698623578E-2</v>
      </c>
    </row>
    <row r="60" spans="2:12" s="104" customFormat="1" ht="11.4">
      <c r="B60" s="375"/>
      <c r="C60" s="376"/>
      <c r="D60" s="377"/>
      <c r="E60" s="377"/>
      <c r="F60" s="377"/>
      <c r="G60" s="377"/>
      <c r="H60" s="377"/>
      <c r="I60" s="287"/>
      <c r="J60" s="377"/>
      <c r="K60" s="377"/>
    </row>
    <row r="61" spans="2:12" s="104" customFormat="1" ht="11.4">
      <c r="B61" s="375"/>
      <c r="C61" s="376"/>
      <c r="D61" s="377"/>
      <c r="E61" s="377"/>
      <c r="F61" s="377"/>
      <c r="G61" s="377"/>
      <c r="H61" s="377"/>
      <c r="I61" s="287"/>
      <c r="J61" s="377"/>
      <c r="K61" s="377"/>
    </row>
    <row r="62" spans="2:12" s="104" customFormat="1" ht="11.4">
      <c r="B62" s="378" t="str">
        <f>GD!B62</f>
        <v>RoRE input values</v>
      </c>
      <c r="C62" s="379"/>
      <c r="D62" s="380"/>
      <c r="E62" s="380"/>
      <c r="F62" s="380"/>
      <c r="G62" s="380"/>
      <c r="H62" s="380"/>
      <c r="I62" s="381"/>
      <c r="J62" s="380"/>
      <c r="K62" s="380"/>
      <c r="L62" s="367"/>
    </row>
    <row r="63" spans="2:12" s="104" customFormat="1" ht="11.4">
      <c r="B63" s="382" t="str">
        <f>GD!B63</f>
        <v>Input values provided in £m 18/19 prices</v>
      </c>
      <c r="C63" s="383"/>
      <c r="D63" s="383"/>
      <c r="E63" s="383"/>
      <c r="F63" s="383"/>
      <c r="G63" s="383"/>
      <c r="H63" s="383"/>
      <c r="I63" s="383"/>
      <c r="J63" s="383"/>
      <c r="K63" s="383"/>
      <c r="L63" s="383"/>
    </row>
    <row r="64" spans="2:12" s="104" customFormat="1" ht="11.4">
      <c r="B64" s="308"/>
    </row>
    <row r="65" spans="2:11" s="104" customFormat="1" ht="11.4">
      <c r="B65" s="308" t="str">
        <f>GD!B65</f>
        <v>Equity Return on the RAV</v>
      </c>
      <c r="C65" s="384" t="str">
        <f>GD!C65</f>
        <v>£m 18/19</v>
      </c>
      <c r="D65" s="385">
        <v>39.707845330828093</v>
      </c>
      <c r="E65" s="385">
        <v>40.376124623504538</v>
      </c>
      <c r="F65" s="385">
        <v>47.41409603493868</v>
      </c>
      <c r="G65" s="385">
        <v>50.954476031810287</v>
      </c>
      <c r="H65" s="385">
        <v>51.175615471254105</v>
      </c>
      <c r="J65" s="385">
        <v>127.49806598927131</v>
      </c>
      <c r="K65" s="385">
        <v>229.6281574923357</v>
      </c>
    </row>
    <row r="66" spans="2:11" s="104" customFormat="1" ht="11.4">
      <c r="B66" s="308" t="str">
        <f>GD!B66</f>
        <v>Totex outperformance</v>
      </c>
      <c r="C66" s="384" t="str">
        <f>GD!C66</f>
        <v>£m 18/19</v>
      </c>
      <c r="D66" s="385">
        <v>19.334294571980109</v>
      </c>
      <c r="E66" s="385">
        <v>3.1091086838877864</v>
      </c>
      <c r="F66" s="385">
        <v>-17.103683149912481</v>
      </c>
      <c r="G66" s="385">
        <v>-30.444698113078427</v>
      </c>
      <c r="H66" s="385">
        <v>-20.974541157236047</v>
      </c>
      <c r="J66" s="385">
        <v>5.3397201059554149</v>
      </c>
      <c r="K66" s="385">
        <v>-46.079519164359056</v>
      </c>
    </row>
    <row r="67" spans="2:11" s="104" customFormat="1" ht="11.4">
      <c r="B67" s="308" t="str">
        <f>GD!B67</f>
        <v>Business Plan Incentive</v>
      </c>
      <c r="C67" s="384" t="str">
        <f>GD!C67</f>
        <v>£m 18/19</v>
      </c>
      <c r="D67" s="385">
        <v>0</v>
      </c>
      <c r="E67" s="385">
        <v>0</v>
      </c>
      <c r="F67" s="385">
        <v>0</v>
      </c>
      <c r="G67" s="385">
        <v>0</v>
      </c>
      <c r="H67" s="385">
        <v>0</v>
      </c>
      <c r="J67" s="385">
        <v>0</v>
      </c>
      <c r="K67" s="385">
        <v>0</v>
      </c>
    </row>
    <row r="68" spans="2:11" s="104" customFormat="1" ht="11.4">
      <c r="B68" s="308" t="str">
        <f>GD!B68</f>
        <v>Customer Satisfaction Survey ODI</v>
      </c>
      <c r="C68" s="384" t="str">
        <f>GD!C68</f>
        <v>£m 18/19</v>
      </c>
      <c r="D68" s="385">
        <v>1.0965185345651367</v>
      </c>
      <c r="E68" s="385">
        <v>1.0020999534670356</v>
      </c>
      <c r="F68" s="385">
        <v>1.1568195944320254</v>
      </c>
      <c r="G68" s="385">
        <v>1.5183823529411755</v>
      </c>
      <c r="H68" s="385">
        <v>1.5183823529411755</v>
      </c>
      <c r="J68" s="385">
        <v>3.2554380824641975</v>
      </c>
      <c r="K68" s="385">
        <v>6.2922027883465486</v>
      </c>
    </row>
    <row r="69" spans="2:11" s="104" customFormat="1" ht="11.4">
      <c r="B69" s="308" t="str">
        <f>GD!B69</f>
        <v>Complaints metric ODI</v>
      </c>
      <c r="C69" s="384" t="str">
        <f>GD!C69</f>
        <v>£m 18/19</v>
      </c>
      <c r="D69" s="385">
        <v>0</v>
      </c>
      <c r="E69" s="385">
        <v>0</v>
      </c>
      <c r="F69" s="385">
        <v>0</v>
      </c>
      <c r="G69" s="385">
        <v>0</v>
      </c>
      <c r="H69" s="385">
        <v>0</v>
      </c>
      <c r="J69" s="385">
        <v>0</v>
      </c>
      <c r="K69" s="385">
        <v>0</v>
      </c>
    </row>
    <row r="70" spans="2:11" s="104" customFormat="1" ht="11.4">
      <c r="B70" s="308" t="str">
        <f>GD!B70</f>
        <v>Unplanned Interruption Mean Duration ODI [NGN, SGN and WWU]</v>
      </c>
      <c r="C70" s="384" t="str">
        <f>GD!C70</f>
        <v>£m 18/19</v>
      </c>
      <c r="D70" s="385">
        <v>0</v>
      </c>
      <c r="E70" s="385">
        <v>0</v>
      </c>
      <c r="F70" s="385">
        <v>0</v>
      </c>
      <c r="G70" s="385">
        <v>0</v>
      </c>
      <c r="H70" s="385">
        <v>0</v>
      </c>
      <c r="J70" s="385">
        <v>0</v>
      </c>
      <c r="K70" s="385">
        <v>0</v>
      </c>
    </row>
    <row r="71" spans="2:11" s="104" customFormat="1" ht="11.4">
      <c r="B71" s="308" t="str">
        <f>GD!B71</f>
        <v>Unplanned Interruption Mean Duration ODI [Cadent only]</v>
      </c>
      <c r="C71" s="384" t="str">
        <f>GD!C71</f>
        <v>£m 18/19</v>
      </c>
      <c r="D71" s="385">
        <v>0</v>
      </c>
      <c r="E71" s="385">
        <v>0</v>
      </c>
      <c r="F71" s="385">
        <v>0</v>
      </c>
      <c r="G71" s="385">
        <v>0</v>
      </c>
      <c r="H71" s="385">
        <v>0</v>
      </c>
      <c r="J71" s="385">
        <v>0</v>
      </c>
      <c r="K71" s="385">
        <v>0</v>
      </c>
    </row>
    <row r="72" spans="2:11" s="104" customFormat="1" ht="11.4">
      <c r="B72" s="308" t="str">
        <f>GD!B72</f>
        <v>Shrinkage Management ODI</v>
      </c>
      <c r="C72" s="384" t="str">
        <f>GD!C72</f>
        <v>£m 18/19</v>
      </c>
      <c r="D72" s="385">
        <v>0.41464279745094612</v>
      </c>
      <c r="E72" s="385">
        <v>0.36638560122849567</v>
      </c>
      <c r="F72" s="385">
        <v>0.3451532656593943</v>
      </c>
      <c r="G72" s="385">
        <v>0</v>
      </c>
      <c r="H72" s="385">
        <v>0</v>
      </c>
      <c r="J72" s="385">
        <v>1.126181664338836</v>
      </c>
      <c r="K72" s="385">
        <v>1.126181664338836</v>
      </c>
    </row>
    <row r="73" spans="2:11" s="104" customFormat="1" ht="11.4">
      <c r="B73" s="308" t="str">
        <f>GD!B73</f>
        <v>Collaborative streetworks ODI [Cadent Lon &amp; EoE, SGN So only]</v>
      </c>
      <c r="C73" s="384" t="str">
        <f>GD!C73</f>
        <v>£m 18/19</v>
      </c>
      <c r="D73" s="385">
        <v>0</v>
      </c>
      <c r="E73" s="385">
        <v>0</v>
      </c>
      <c r="F73" s="385">
        <v>0</v>
      </c>
      <c r="G73" s="385">
        <v>0</v>
      </c>
      <c r="H73" s="385">
        <v>0</v>
      </c>
      <c r="J73" s="385">
        <v>0</v>
      </c>
      <c r="K73" s="385">
        <v>0</v>
      </c>
    </row>
    <row r="74" spans="2:11" s="104" customFormat="1" ht="11.4">
      <c r="B74" s="308" t="str">
        <f>GD!B74</f>
        <v>Network innovation input for RORE</v>
      </c>
      <c r="C74" s="384" t="str">
        <f>GD!C74</f>
        <v>£m 18/19</v>
      </c>
      <c r="D74" s="385">
        <v>-9.1809561822090546E-2</v>
      </c>
      <c r="E74" s="385">
        <v>-0.12925076182052164</v>
      </c>
      <c r="F74" s="385">
        <v>-0.1539633795041897</v>
      </c>
      <c r="G74" s="385">
        <v>-0.55137703731548804</v>
      </c>
      <c r="H74" s="385">
        <v>-0.55137703731548804</v>
      </c>
      <c r="J74" s="385">
        <v>-0.37502370314680189</v>
      </c>
      <c r="K74" s="385">
        <v>-1.4777777777777779</v>
      </c>
    </row>
    <row r="75" spans="2:11" s="104" customFormat="1" ht="11.4">
      <c r="B75" s="308" t="str">
        <f>GD!B75</f>
        <v>Carry-over Network innovation input for RORE</v>
      </c>
      <c r="C75" s="384" t="str">
        <f>GD!C75</f>
        <v>£m 18/19</v>
      </c>
      <c r="D75" s="385">
        <v>-4.5027693960771886E-2</v>
      </c>
      <c r="E75" s="385">
        <v>0</v>
      </c>
      <c r="F75" s="385">
        <v>0</v>
      </c>
      <c r="G75" s="385">
        <v>0</v>
      </c>
      <c r="H75" s="385">
        <v>0</v>
      </c>
      <c r="J75" s="385">
        <v>-4.5027693960771886E-2</v>
      </c>
      <c r="K75" s="385">
        <v>-4.5027693960771886E-2</v>
      </c>
    </row>
    <row r="76" spans="2:11" s="104" customFormat="1" ht="11.4">
      <c r="B76" s="308" t="str">
        <f>GD!B76</f>
        <v>Strategic innovation input for RORE</v>
      </c>
      <c r="C76" s="384" t="str">
        <f>GD!C76</f>
        <v>£m 18/19</v>
      </c>
      <c r="D76" s="385">
        <v>0</v>
      </c>
      <c r="E76" s="385">
        <v>-1.1397546119521332E-2</v>
      </c>
      <c r="F76" s="385">
        <v>-5.3360659000000005E-2</v>
      </c>
      <c r="G76" s="385">
        <v>0</v>
      </c>
      <c r="H76" s="385">
        <v>0</v>
      </c>
      <c r="J76" s="385">
        <v>-6.4758205119521337E-2</v>
      </c>
      <c r="K76" s="385">
        <v>-6.4758205119521337E-2</v>
      </c>
    </row>
    <row r="77" spans="2:11" s="104" customFormat="1" ht="11.4">
      <c r="B77" s="308" t="str">
        <f>GD!B77</f>
        <v>H100 shareholder contribution</v>
      </c>
      <c r="C77" s="384" t="str">
        <f>GD!C77</f>
        <v>£m 18/19</v>
      </c>
      <c r="D77" s="385">
        <v>0</v>
      </c>
      <c r="E77" s="385">
        <v>0</v>
      </c>
      <c r="F77" s="385">
        <v>0</v>
      </c>
      <c r="G77" s="385">
        <v>0</v>
      </c>
      <c r="H77" s="385">
        <v>0</v>
      </c>
      <c r="J77" s="385">
        <v>0</v>
      </c>
      <c r="K77" s="385">
        <v>0</v>
      </c>
    </row>
    <row r="78" spans="2:11" s="104" customFormat="1" ht="11.4">
      <c r="B78" s="308" t="str">
        <f>GD!B78</f>
        <v>LTS shareholder contribution</v>
      </c>
      <c r="C78" s="384" t="str">
        <f>GD!C78</f>
        <v>£m 18/19</v>
      </c>
      <c r="D78" s="385">
        <v>0</v>
      </c>
      <c r="E78" s="385">
        <v>0</v>
      </c>
      <c r="F78" s="385">
        <v>0</v>
      </c>
      <c r="G78" s="385">
        <v>0</v>
      </c>
      <c r="H78" s="385">
        <v>0</v>
      </c>
      <c r="J78" s="385">
        <v>0</v>
      </c>
      <c r="K78" s="385">
        <v>0</v>
      </c>
    </row>
    <row r="79" spans="2:11" s="104" customFormat="1" ht="11.4">
      <c r="B79" s="308" t="str">
        <f>GD!B79</f>
        <v/>
      </c>
      <c r="C79" s="384" t="str">
        <f>GD!C79</f>
        <v>£m 18/19</v>
      </c>
      <c r="D79" s="385">
        <v>0</v>
      </c>
      <c r="E79" s="385">
        <v>0</v>
      </c>
      <c r="F79" s="385">
        <v>0</v>
      </c>
      <c r="G79" s="385">
        <v>0</v>
      </c>
      <c r="H79" s="385">
        <v>0</v>
      </c>
      <c r="J79" s="385">
        <v>0</v>
      </c>
      <c r="K79" s="385">
        <v>0</v>
      </c>
    </row>
    <row r="80" spans="2:11" s="104" customFormat="1" ht="11.4">
      <c r="B80" s="308" t="str">
        <f>GD!B80</f>
        <v/>
      </c>
      <c r="C80" s="384" t="str">
        <f>GD!C80</f>
        <v>£m 18/19</v>
      </c>
      <c r="D80" s="385">
        <v>0</v>
      </c>
      <c r="E80" s="385">
        <v>0</v>
      </c>
      <c r="F80" s="385">
        <v>0</v>
      </c>
      <c r="G80" s="385">
        <v>0</v>
      </c>
      <c r="H80" s="385">
        <v>0</v>
      </c>
      <c r="J80" s="385">
        <v>0</v>
      </c>
      <c r="K80" s="385">
        <v>0</v>
      </c>
    </row>
    <row r="81" spans="2:14" s="104" customFormat="1" ht="11.4">
      <c r="B81" s="308" t="str">
        <f>GD!B81</f>
        <v/>
      </c>
      <c r="C81" s="384" t="str">
        <f>GD!C81</f>
        <v>£m 18/19</v>
      </c>
      <c r="D81" s="385">
        <v>0</v>
      </c>
      <c r="E81" s="385">
        <v>0</v>
      </c>
      <c r="F81" s="385">
        <v>0</v>
      </c>
      <c r="G81" s="385">
        <v>0</v>
      </c>
      <c r="H81" s="385">
        <v>0</v>
      </c>
      <c r="J81" s="385">
        <v>0</v>
      </c>
      <c r="K81" s="385">
        <v>0</v>
      </c>
    </row>
    <row r="82" spans="2:14" s="104" customFormat="1" ht="11.4">
      <c r="B82" s="308" t="str">
        <f>GD!B82</f>
        <v>Penalties and fines (Other Activities)</v>
      </c>
      <c r="C82" s="384" t="str">
        <f>GD!C82</f>
        <v>£m 18/19</v>
      </c>
      <c r="D82" s="385">
        <v>-0.27404629929936097</v>
      </c>
      <c r="E82" s="385">
        <v>-0.37540461656216095</v>
      </c>
      <c r="F82" s="385">
        <v>-0.26212738267116786</v>
      </c>
      <c r="G82" s="385">
        <v>-0.25495622737910695</v>
      </c>
      <c r="H82" s="385">
        <v>-0.25103585397123696</v>
      </c>
      <c r="J82" s="385">
        <v>-0.91157829853268979</v>
      </c>
      <c r="K82" s="385">
        <v>-1.4175703798830337</v>
      </c>
    </row>
    <row r="83" spans="2:14" s="104" customFormat="1" ht="11.4">
      <c r="B83" s="306" t="str">
        <f>GD!B83</f>
        <v>RoRE - Operational performance</v>
      </c>
      <c r="C83" s="384" t="str">
        <f>GD!C83</f>
        <v>£m 18/19</v>
      </c>
      <c r="D83" s="387">
        <v>60.14241767974206</v>
      </c>
      <c r="E83" s="387">
        <v>44.337665937585655</v>
      </c>
      <c r="F83" s="387">
        <v>31.342934323942263</v>
      </c>
      <c r="G83" s="387">
        <v>21.22182700697844</v>
      </c>
      <c r="H83" s="387">
        <v>30.917043775672504</v>
      </c>
      <c r="I83" s="177"/>
      <c r="J83" s="387">
        <v>135.82301794126997</v>
      </c>
      <c r="K83" s="387">
        <v>187.96188872392091</v>
      </c>
    </row>
    <row r="84" spans="2:14" s="104" customFormat="1" ht="11.4">
      <c r="B84" s="308" t="str">
        <f>GD!B84</f>
        <v>Debt performance - at notional gearing</v>
      </c>
      <c r="C84" s="384" t="str">
        <f>GD!C84</f>
        <v>£m 18/19</v>
      </c>
      <c r="D84" s="385">
        <v>-13.328178845970136</v>
      </c>
      <c r="E84" s="385">
        <v>-53.569681284536379</v>
      </c>
      <c r="F84" s="385">
        <v>-78.050610681318219</v>
      </c>
      <c r="G84" s="385">
        <v>-11.90921318720285</v>
      </c>
      <c r="H84" s="385">
        <v>-16.982099830944271</v>
      </c>
      <c r="J84" s="385">
        <v>-144.94847081182473</v>
      </c>
      <c r="K84" s="385">
        <v>-173.83978382997185</v>
      </c>
      <c r="M84" s="406"/>
      <c r="N84" s="194"/>
    </row>
    <row r="85" spans="2:14" s="104" customFormat="1" ht="11.4">
      <c r="B85" s="308" t="str">
        <f>GD!B85</f>
        <v>Debt performance - impact of actual gearing</v>
      </c>
      <c r="C85" s="384" t="str">
        <f>GD!C85</f>
        <v>£m 18/19</v>
      </c>
      <c r="D85" s="385">
        <v>-1.6650210638914906</v>
      </c>
      <c r="E85" s="385">
        <v>0.57553242314050834</v>
      </c>
      <c r="F85" s="385">
        <v>12.319950968401201</v>
      </c>
      <c r="G85" s="385">
        <v>4.7197940647625467</v>
      </c>
      <c r="H85" s="385">
        <v>1.1107250538080606</v>
      </c>
      <c r="J85" s="385">
        <v>11.230462327650219</v>
      </c>
      <c r="K85" s="385">
        <v>17.060981446220826</v>
      </c>
    </row>
    <row r="86" spans="2:14" s="104" customFormat="1" ht="11.4">
      <c r="B86" s="308" t="str">
        <f>GD!B86</f>
        <v>Tax performance - at notional gearing</v>
      </c>
      <c r="C86" s="384" t="str">
        <f>GD!C86</f>
        <v>£m 18/19</v>
      </c>
      <c r="D86" s="385">
        <v>15.605815067239483</v>
      </c>
      <c r="E86" s="385">
        <v>6.1886919459084968</v>
      </c>
      <c r="F86" s="385">
        <v>11.870627562793405</v>
      </c>
      <c r="G86" s="385">
        <v>17.319670402389931</v>
      </c>
      <c r="H86" s="385">
        <v>19.187802339052432</v>
      </c>
      <c r="J86" s="385">
        <v>33.66513457594138</v>
      </c>
      <c r="K86" s="385">
        <v>70.172607317383751</v>
      </c>
    </row>
    <row r="87" spans="2:14" s="104" customFormat="1" ht="11.4">
      <c r="B87" s="308" t="str">
        <f>GD!B87</f>
        <v>Tax performance - impact of actual gearing</v>
      </c>
      <c r="C87" s="384" t="str">
        <f>GD!C87</f>
        <v>£m 18/19</v>
      </c>
      <c r="D87" s="385">
        <v>0.31635400213938247</v>
      </c>
      <c r="E87" s="385">
        <v>-0.10935116039669701</v>
      </c>
      <c r="F87" s="385">
        <v>-3.0799877421003004</v>
      </c>
      <c r="G87" s="385">
        <v>-1.1799485161906347</v>
      </c>
      <c r="H87" s="385">
        <v>-0.27768126345201694</v>
      </c>
      <c r="J87" s="385">
        <v>-2.8729849003576149</v>
      </c>
      <c r="K87" s="385">
        <v>-4.3306146800002665</v>
      </c>
    </row>
    <row r="88" spans="2:14" s="104" customFormat="1" ht="11.4">
      <c r="B88" s="306" t="str">
        <f>GD!B88</f>
        <v>RoRE - including financing and tax</v>
      </c>
      <c r="C88" s="384" t="str">
        <f>GD!C88</f>
        <v>£m 18/19</v>
      </c>
      <c r="D88" s="387">
        <v>61.071386839259304</v>
      </c>
      <c r="E88" s="387">
        <v>-2.5771421382984165</v>
      </c>
      <c r="F88" s="387">
        <v>-25.597085568281653</v>
      </c>
      <c r="G88" s="387">
        <v>30.172129770737435</v>
      </c>
      <c r="H88" s="387">
        <v>33.955790074136708</v>
      </c>
      <c r="I88" s="177"/>
      <c r="J88" s="387">
        <v>32.897159132679214</v>
      </c>
      <c r="K88" s="387">
        <v>97.025078977553363</v>
      </c>
    </row>
    <row r="89" spans="2:14" s="104" customFormat="1" ht="11.4">
      <c r="B89" s="308"/>
      <c r="C89" s="388"/>
      <c r="D89" s="390"/>
    </row>
    <row r="90" spans="2:14" s="104" customFormat="1" ht="11.4">
      <c r="B90" s="308" t="str">
        <f>GD!B90</f>
        <v>NPV-neutral equity RAV based on notional gearing</v>
      </c>
      <c r="C90" s="384" t="str">
        <f>GD!C90</f>
        <v>£m 18/19</v>
      </c>
      <c r="D90" s="385">
        <v>878.84444941165884</v>
      </c>
      <c r="E90" s="385">
        <v>886.06108644422534</v>
      </c>
      <c r="F90" s="385">
        <v>897.41731253185799</v>
      </c>
      <c r="G90" s="385">
        <v>911.92945625269476</v>
      </c>
      <c r="H90" s="385">
        <v>927.50737518087737</v>
      </c>
    </row>
    <row r="91" spans="2:14" s="104" customFormat="1" ht="11.4">
      <c r="B91" s="308" t="str">
        <f>GD!B91</f>
        <v>Equity RAV based on actual gearing</v>
      </c>
      <c r="C91" s="384" t="str">
        <f>GD!C91</f>
        <v>£m 18/19</v>
      </c>
      <c r="D91" s="385">
        <v>825.49614061624629</v>
      </c>
      <c r="E91" s="385">
        <v>895.66842763650584</v>
      </c>
      <c r="F91" s="385">
        <v>1055.8087875632664</v>
      </c>
      <c r="G91" s="385">
        <v>1067.1539850900024</v>
      </c>
      <c r="H91" s="385">
        <v>958.61466362969293</v>
      </c>
    </row>
    <row r="92" spans="2:14" s="104" customFormat="1" ht="11.4">
      <c r="B92" s="308"/>
    </row>
    <row r="93" spans="2:14" s="104" customFormat="1" ht="11.4">
      <c r="B93" s="308"/>
    </row>
    <row r="94" spans="2:14" s="104" customFormat="1" ht="11.4">
      <c r="B94" s="306" t="s">
        <v>193</v>
      </c>
      <c r="D94" s="307" t="str">
        <f>GD!D94</f>
        <v>Actuals</v>
      </c>
      <c r="E94" s="307" t="str">
        <f>GD!E94</f>
        <v>Actuals</v>
      </c>
      <c r="F94" s="307" t="str">
        <f>GD!F94</f>
        <v>Actuals</v>
      </c>
      <c r="G94" s="307" t="str">
        <f>GD!G94</f>
        <v>Forecast</v>
      </c>
      <c r="H94" s="307" t="str">
        <f>GD!H94</f>
        <v>Forecast</v>
      </c>
    </row>
    <row r="95" spans="2:14" s="104" customFormat="1" ht="22.8">
      <c r="B95" s="308"/>
      <c r="D95" s="309">
        <f>GD!D95</f>
        <v>2022</v>
      </c>
      <c r="E95" s="309">
        <f>GD!E95</f>
        <v>2023</v>
      </c>
      <c r="F95" s="309">
        <f>GD!F95</f>
        <v>2024</v>
      </c>
      <c r="G95" s="309">
        <f>GD!G95</f>
        <v>2025</v>
      </c>
      <c r="H95" s="309">
        <f>GD!H95</f>
        <v>2026</v>
      </c>
      <c r="J95" s="310" t="str">
        <f>GD!J95</f>
        <v>Cumulative to 2024</v>
      </c>
      <c r="K95" s="311" t="str">
        <f>GD!K95</f>
        <v>RIIO-2 period</v>
      </c>
    </row>
    <row r="96" spans="2:14" s="104" customFormat="1" ht="11.4">
      <c r="B96" s="308" t="s">
        <v>154</v>
      </c>
      <c r="C96" s="384" t="str">
        <f>GD!C96</f>
        <v>£m 18/19</v>
      </c>
      <c r="D96" s="326">
        <v>213.11497073727193</v>
      </c>
      <c r="E96" s="326">
        <v>237.57367233827949</v>
      </c>
      <c r="F96" s="326">
        <v>283.35413284343235</v>
      </c>
      <c r="G96" s="326">
        <v>312.79154585736842</v>
      </c>
      <c r="H96" s="326">
        <v>316.70995299797977</v>
      </c>
      <c r="I96" s="308"/>
      <c r="J96" s="326">
        <v>734.04277591898381</v>
      </c>
      <c r="K96" s="326">
        <v>1363.5442747743318</v>
      </c>
      <c r="L96" s="308"/>
    </row>
    <row r="97" spans="2:12" s="104" customFormat="1" ht="22.8">
      <c r="B97" s="312" t="s">
        <v>155</v>
      </c>
      <c r="C97" s="384" t="str">
        <f>GD!C97</f>
        <v>£m 18/19</v>
      </c>
      <c r="D97" s="326">
        <v>251.78355988123215</v>
      </c>
      <c r="E97" s="326">
        <v>243.79188970605509</v>
      </c>
      <c r="F97" s="326">
        <v>249.14676654360738</v>
      </c>
      <c r="G97" s="326">
        <v>251.90214963121153</v>
      </c>
      <c r="H97" s="326">
        <v>274.76087068350768</v>
      </c>
      <c r="I97" s="308"/>
      <c r="J97" s="326">
        <v>744.72221613089459</v>
      </c>
      <c r="K97" s="326">
        <v>1271.3852364456138</v>
      </c>
      <c r="L97" s="308"/>
    </row>
    <row r="98" spans="2:12" s="104" customFormat="1" ht="11.4">
      <c r="B98" s="306" t="s">
        <v>156</v>
      </c>
      <c r="C98" s="384" t="str">
        <f>GD!C98</f>
        <v>£m 18/19</v>
      </c>
      <c r="D98" s="326">
        <v>38.668589143960219</v>
      </c>
      <c r="E98" s="326">
        <v>6.2182173677755728</v>
      </c>
      <c r="F98" s="326">
        <v>-34.207366299824962</v>
      </c>
      <c r="G98" s="326">
        <v>-60.889396226156855</v>
      </c>
      <c r="H98" s="326">
        <v>-41.949082314472093</v>
      </c>
      <c r="I98" s="308"/>
      <c r="J98" s="326">
        <v>10.679440211910844</v>
      </c>
      <c r="K98" s="326">
        <v>-92.159038328718154</v>
      </c>
      <c r="L98" s="308"/>
    </row>
    <row r="99" spans="2:12" s="104" customFormat="1" ht="11.4">
      <c r="B99" s="308" t="s">
        <v>157</v>
      </c>
      <c r="C99" s="384" t="str">
        <f>GD!C99</f>
        <v>£m 18/19</v>
      </c>
      <c r="D99" s="326">
        <v>0</v>
      </c>
      <c r="E99" s="326">
        <v>0</v>
      </c>
      <c r="F99" s="326">
        <v>0</v>
      </c>
      <c r="G99" s="326">
        <v>0</v>
      </c>
      <c r="H99" s="326">
        <v>0</v>
      </c>
      <c r="I99" s="308"/>
      <c r="J99" s="326">
        <v>0</v>
      </c>
      <c r="K99" s="326">
        <v>0</v>
      </c>
      <c r="L99" s="308"/>
    </row>
    <row r="100" spans="2:12" s="104" customFormat="1" ht="11.4">
      <c r="B100" s="306" t="s">
        <v>158</v>
      </c>
      <c r="C100" s="384" t="str">
        <f>GD!C100</f>
        <v>£m 18/19</v>
      </c>
      <c r="D100" s="303">
        <f>D98+D99</f>
        <v>38.668589143960219</v>
      </c>
      <c r="E100" s="303">
        <f t="shared" ref="E100:H100" si="33">E98+E99</f>
        <v>6.2182173677755728</v>
      </c>
      <c r="F100" s="303">
        <f t="shared" si="33"/>
        <v>-34.207366299824962</v>
      </c>
      <c r="G100" s="303">
        <f t="shared" si="33"/>
        <v>-60.889396226156855</v>
      </c>
      <c r="H100" s="303">
        <f t="shared" si="33"/>
        <v>-41.949082314472093</v>
      </c>
      <c r="I100" s="308"/>
      <c r="J100" s="303">
        <f>J98+J99</f>
        <v>10.679440211910844</v>
      </c>
      <c r="K100" s="303">
        <f>K98+K99</f>
        <v>-92.159038328718154</v>
      </c>
      <c r="L100" s="308"/>
    </row>
    <row r="101" spans="2:12" s="104" customFormat="1" ht="11.4">
      <c r="B101" s="306" t="s">
        <v>159</v>
      </c>
      <c r="C101" s="314" t="s">
        <v>163</v>
      </c>
      <c r="D101" s="151">
        <f>D100/D97</f>
        <v>0.15357868941959685</v>
      </c>
      <c r="E101" s="151">
        <f>E100/E97</f>
        <v>2.5506251972832263E-2</v>
      </c>
      <c r="F101" s="151">
        <f t="shared" ref="F101:H101" si="34">F100/F97</f>
        <v>-0.13729805437325535</v>
      </c>
      <c r="G101" s="151">
        <f t="shared" si="34"/>
        <v>-0.24171844629075151</v>
      </c>
      <c r="H101" s="151">
        <f t="shared" si="34"/>
        <v>-0.15267487764949078</v>
      </c>
      <c r="J101" s="151">
        <f>J100/J97</f>
        <v>1.4340166011690181E-2</v>
      </c>
      <c r="K101" s="151">
        <f>K100/K97</f>
        <v>-7.2487107516180802E-2</v>
      </c>
    </row>
  </sheetData>
  <conditionalFormatting sqref="D6:G7 D94:G95">
    <cfRule type="expression" dxfId="36" priority="3">
      <formula>AND(D$6="Actuals",E$6="Forecast")</formula>
    </cfRule>
  </conditionalFormatting>
  <conditionalFormatting sqref="H6:H7 H94:H95">
    <cfRule type="expression" dxfId="35" priority="41">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5" tint="-0.249977111117893"/>
  </sheetPr>
  <dimension ref="A1:BC108"/>
  <sheetViews>
    <sheetView zoomScale="80" zoomScaleNormal="80" workbookViewId="0"/>
  </sheetViews>
  <sheetFormatPr defaultColWidth="9.26953125" defaultRowHeight="11.4"/>
  <cols>
    <col min="1" max="1" width="7.26953125" style="104" customWidth="1"/>
    <col min="2" max="2" width="66.26953125" style="308" bestFit="1" customWidth="1"/>
    <col min="3" max="3" width="8.6328125" style="104" bestFit="1" customWidth="1"/>
    <col min="4" max="8" width="9.08984375" style="104" customWidth="1"/>
    <col min="9" max="9" width="3.6328125" style="104" customWidth="1"/>
    <col min="10" max="10" width="13.7265625" style="104" customWidth="1"/>
    <col min="11" max="11" width="14.7265625" style="104" bestFit="1" customWidth="1"/>
    <col min="12" max="12" width="8.08984375" style="104" customWidth="1"/>
    <col min="13" max="13" width="9.26953125" style="104"/>
    <col min="14" max="14" width="10.08984375" style="104" bestFit="1" customWidth="1"/>
    <col min="15" max="16384" width="9.26953125" style="104"/>
  </cols>
  <sheetData>
    <row r="1" spans="1:55" s="41" customFormat="1" ht="57" customHeight="1">
      <c r="B1" s="45"/>
      <c r="C1" s="45"/>
      <c r="D1" s="45"/>
      <c r="E1" s="45"/>
      <c r="F1" s="45"/>
      <c r="G1" s="45"/>
      <c r="H1" s="45"/>
      <c r="I1" s="45"/>
      <c r="J1" s="45"/>
      <c r="K1" s="45"/>
      <c r="L1" s="45"/>
    </row>
    <row r="2" spans="1:55" customFormat="1" ht="21">
      <c r="A2" s="419" t="s">
        <v>162</v>
      </c>
      <c r="B2" s="71"/>
      <c r="C2" s="47"/>
      <c r="D2" s="47"/>
      <c r="E2" s="47"/>
      <c r="F2" s="47"/>
      <c r="G2" s="47"/>
      <c r="H2" s="47"/>
      <c r="I2" s="49"/>
      <c r="J2" s="49"/>
      <c r="K2" s="49"/>
      <c r="L2" s="50" t="s">
        <v>30</v>
      </c>
    </row>
    <row r="3" spans="1:55" customFormat="1" ht="21">
      <c r="A3" s="425" t="s">
        <v>194</v>
      </c>
      <c r="B3" s="1"/>
      <c r="C3" s="2"/>
      <c r="D3" s="2"/>
      <c r="E3" s="2"/>
      <c r="F3" s="2"/>
      <c r="G3" s="2"/>
      <c r="H3" s="2"/>
      <c r="I3" s="3"/>
      <c r="J3" s="3"/>
      <c r="K3" s="3"/>
      <c r="L3" s="72"/>
    </row>
    <row r="4" spans="1:55" customFormat="1" ht="21">
      <c r="A4" s="430">
        <f>Data!B3</f>
        <v>2024</v>
      </c>
      <c r="B4" s="4"/>
      <c r="C4" s="5"/>
      <c r="D4" s="5"/>
      <c r="E4" s="5"/>
      <c r="F4" s="5"/>
      <c r="G4" s="5"/>
      <c r="H4" s="5"/>
      <c r="I4" s="6"/>
      <c r="J4" s="6"/>
      <c r="K4" s="6"/>
      <c r="L4" s="7"/>
    </row>
    <row r="5" spans="1:55" customFormat="1" ht="12.75" customHeight="1">
      <c r="B5" s="8"/>
    </row>
    <row r="6" spans="1:55">
      <c r="D6" s="359" t="str">
        <f>IF(D7&lt;=Data!$B$3,"Actuals","Forecast")</f>
        <v>Actuals</v>
      </c>
      <c r="E6" s="359" t="str">
        <f>IF(E7&lt;=Data!$B$3,"Actuals","Forecast")</f>
        <v>Actuals</v>
      </c>
      <c r="F6" s="359" t="str">
        <f>IF(F7&lt;=Data!$B$3,"Actuals","Forecast")</f>
        <v>Actuals</v>
      </c>
      <c r="G6" s="359" t="str">
        <f>IF(G7&lt;=Data!$B$3,"Actuals","Forecast")</f>
        <v>Forecast</v>
      </c>
      <c r="H6" s="359" t="str">
        <f>IF(H7&lt;=Data!$B$3,"Actuals","Forecast")</f>
        <v>Forecast</v>
      </c>
      <c r="I6" s="358"/>
      <c r="J6" s="358"/>
    </row>
    <row r="7" spans="1:55"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55">
      <c r="C8" s="361"/>
      <c r="D8" s="361"/>
      <c r="E8" s="361"/>
      <c r="F8" s="361"/>
      <c r="G8" s="361"/>
      <c r="H8" s="361"/>
      <c r="I8" s="361"/>
      <c r="J8" s="361"/>
      <c r="K8" s="361"/>
      <c r="L8" s="361"/>
    </row>
    <row r="9" spans="1:55">
      <c r="B9" s="366" t="s">
        <v>56</v>
      </c>
      <c r="C9" s="367"/>
      <c r="D9" s="367"/>
      <c r="E9" s="367"/>
      <c r="F9" s="367"/>
      <c r="G9" s="367"/>
      <c r="H9" s="367"/>
      <c r="I9" s="368"/>
      <c r="J9" s="367"/>
      <c r="K9" s="367"/>
      <c r="L9" s="367"/>
    </row>
    <row r="10" spans="1:55">
      <c r="B10" s="147"/>
      <c r="I10" s="345"/>
    </row>
    <row r="11" spans="1:55">
      <c r="B11" s="369" t="str">
        <f>ET!B11</f>
        <v>Allowed Equity Return</v>
      </c>
      <c r="C11" s="370" t="s">
        <v>163</v>
      </c>
      <c r="D11" s="284">
        <f t="shared" ref="D11:H20" si="1">D65/D$90</f>
        <v>4.5181881000000007E-2</v>
      </c>
      <c r="E11" s="371">
        <f t="shared" si="1"/>
        <v>4.5568104999999991E-2</v>
      </c>
      <c r="F11" s="371">
        <f t="shared" si="1"/>
        <v>5.2833943999999994E-2</v>
      </c>
      <c r="G11" s="371">
        <f t="shared" si="1"/>
        <v>5.587545800000001E-2</v>
      </c>
      <c r="H11" s="371">
        <f t="shared" si="1"/>
        <v>5.5175426999999992E-2</v>
      </c>
      <c r="I11" s="194"/>
      <c r="J11" s="284">
        <f>AVERAGE(D65:INDEX(D65:H65,0,MATCH(Data!$B$3,$D$7:$H$7,0)))/AVERAGE($D$90:INDEX($D$90:$H$90,0,MATCH(Data!$B$3,$D$7:$H$7,0)))</f>
        <v>4.7830596402530616E-2</v>
      </c>
      <c r="K11" s="285">
        <f t="shared" ref="K11:K20" si="2">AVERAGE(D65:H65)/AVERAGE($D$90:$H$90)</f>
        <v>5.0894340119933164E-2</v>
      </c>
      <c r="M11" s="194"/>
      <c r="N11" s="194"/>
      <c r="O11" s="194"/>
      <c r="P11" s="194"/>
      <c r="Q11" s="194"/>
      <c r="R11" s="278"/>
      <c r="T11" s="194"/>
      <c r="U11" s="278"/>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row>
    <row r="12" spans="1:55">
      <c r="B12" s="369" t="str">
        <f t="shared" ref="B12:B29" si="3">B66</f>
        <v>Totex outperformance</v>
      </c>
      <c r="C12" s="370" t="s">
        <v>163</v>
      </c>
      <c r="D12" s="282">
        <f t="shared" si="1"/>
        <v>-2.2274866615869708E-3</v>
      </c>
      <c r="E12" s="283">
        <f t="shared" si="1"/>
        <v>2.4517445832115893E-4</v>
      </c>
      <c r="F12" s="283">
        <f t="shared" si="1"/>
        <v>1.375272803783671E-3</v>
      </c>
      <c r="G12" s="283">
        <f t="shared" si="1"/>
        <v>1.9103799851080319E-3</v>
      </c>
      <c r="H12" s="283">
        <f t="shared" si="1"/>
        <v>2.9432377859931404E-3</v>
      </c>
      <c r="I12" s="194"/>
      <c r="J12" s="284">
        <f>AVERAGE(D66:INDEX(D66:H66,0,MATCH(Data!$B$3,$D$7:$H$7,0)))/AVERAGE($D$90:INDEX($D$90:$H$90,0,MATCH(Data!$B$3,$D$7:$H$7,0)))</f>
        <v>-2.1798105460174103E-4</v>
      </c>
      <c r="K12" s="285">
        <f t="shared" si="2"/>
        <v>8.3649235729465349E-4</v>
      </c>
      <c r="M12" s="194"/>
      <c r="N12" s="194"/>
      <c r="O12" s="194"/>
      <c r="P12" s="194"/>
      <c r="Q12" s="194"/>
      <c r="R12" s="278"/>
      <c r="T12" s="194"/>
      <c r="U12" s="278"/>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row>
    <row r="13" spans="1:55">
      <c r="B13" s="369" t="str">
        <f t="shared" si="3"/>
        <v>Business Plan Incentive</v>
      </c>
      <c r="C13" s="370" t="s">
        <v>163</v>
      </c>
      <c r="D13" s="282">
        <f t="shared" si="1"/>
        <v>-1.8814420460258766E-3</v>
      </c>
      <c r="E13" s="283">
        <f t="shared" si="1"/>
        <v>-1.9097796034899142E-3</v>
      </c>
      <c r="F13" s="283">
        <f t="shared" si="1"/>
        <v>-1.9299326946253738E-3</v>
      </c>
      <c r="G13" s="283">
        <f t="shared" si="1"/>
        <v>-1.9316864215023217E-3</v>
      </c>
      <c r="H13" s="283">
        <f t="shared" si="1"/>
        <v>-1.9099275962663797E-3</v>
      </c>
      <c r="I13" s="194"/>
      <c r="J13" s="284">
        <f>AVERAGE(D67:INDEX(D67:H67,0,MATCH(Data!$B$3,$D$7:$H$7,0)))/AVERAGE($D$90:INDEX($D$90:$H$90,0,MATCH(Data!$B$3,$D$7:$H$7,0)))</f>
        <v>-1.9068435502715281E-3</v>
      </c>
      <c r="K13" s="285">
        <f t="shared" si="2"/>
        <v>-1.9123800670297285E-3</v>
      </c>
      <c r="M13" s="194"/>
      <c r="N13" s="194"/>
      <c r="O13" s="194"/>
      <c r="P13" s="194"/>
      <c r="Q13" s="194"/>
      <c r="R13" s="278"/>
      <c r="T13" s="194"/>
      <c r="U13" s="278"/>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row>
    <row r="14" spans="1:55">
      <c r="B14" s="369" t="str">
        <f t="shared" si="3"/>
        <v>Customer satisfaction survey ODI</v>
      </c>
      <c r="C14" s="370" t="s">
        <v>163</v>
      </c>
      <c r="D14" s="282">
        <f t="shared" si="1"/>
        <v>1.5805153855183956E-3</v>
      </c>
      <c r="E14" s="283">
        <f t="shared" si="1"/>
        <v>1.604320501203212E-3</v>
      </c>
      <c r="F14" s="283">
        <f t="shared" si="1"/>
        <v>1.6212502124704972E-3</v>
      </c>
      <c r="G14" s="283">
        <f t="shared" si="1"/>
        <v>1.6227234400497722E-3</v>
      </c>
      <c r="H14" s="283">
        <f t="shared" si="1"/>
        <v>1.6044448233212614E-3</v>
      </c>
      <c r="I14" s="194"/>
      <c r="J14" s="284">
        <f>AVERAGE(D68:INDEX(D68:H68,0,MATCH(Data!$B$3,$D$7:$H$7,0)))/AVERAGE($D$90:INDEX($D$90:$H$90,0,MATCH(Data!$B$3,$D$7:$H$7,0)))</f>
        <v>1.6018540540999582E-3</v>
      </c>
      <c r="K14" s="285">
        <f t="shared" si="2"/>
        <v>1.6065050344142339E-3</v>
      </c>
      <c r="M14" s="194"/>
      <c r="N14" s="194"/>
      <c r="O14" s="194"/>
      <c r="P14" s="194"/>
      <c r="Q14" s="194"/>
      <c r="R14" s="278"/>
      <c r="T14" s="194"/>
      <c r="U14" s="278"/>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row>
    <row r="15" spans="1:55">
      <c r="B15" s="369" t="str">
        <f t="shared" si="3"/>
        <v>Environmental scorecard ODI</v>
      </c>
      <c r="C15" s="370" t="s">
        <v>163</v>
      </c>
      <c r="D15" s="282">
        <f t="shared" si="1"/>
        <v>2.2379059792045308E-5</v>
      </c>
      <c r="E15" s="283">
        <f t="shared" si="1"/>
        <v>5.0947735379085221E-5</v>
      </c>
      <c r="F15" s="283">
        <f t="shared" si="1"/>
        <v>5.1539313409756659E-5</v>
      </c>
      <c r="G15" s="283">
        <f t="shared" si="1"/>
        <v>5.3422993911103611E-5</v>
      </c>
      <c r="H15" s="283">
        <f t="shared" si="1"/>
        <v>5.2821228751317247E-5</v>
      </c>
      <c r="I15" s="194"/>
      <c r="J15" s="284">
        <f>AVERAGE(D69:INDEX(D69:H69,0,MATCH(Data!$B$3,$D$7:$H$7,0)))/AVERAGE($D$90:INDEX($D$90:$H$90,0,MATCH(Data!$B$3,$D$7:$H$7,0)))</f>
        <v>4.1491107690238074E-5</v>
      </c>
      <c r="K15" s="285">
        <f t="shared" si="2"/>
        <v>4.6122568079654887E-5</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row>
    <row r="16" spans="1:55">
      <c r="B16" s="369" t="str">
        <f t="shared" si="3"/>
        <v/>
      </c>
      <c r="C16" s="370" t="s">
        <v>163</v>
      </c>
      <c r="D16" s="282">
        <f t="shared" si="1"/>
        <v>0</v>
      </c>
      <c r="E16" s="283">
        <f t="shared" si="1"/>
        <v>0</v>
      </c>
      <c r="F16" s="283">
        <f t="shared" si="1"/>
        <v>0</v>
      </c>
      <c r="G16" s="283">
        <f t="shared" si="1"/>
        <v>0</v>
      </c>
      <c r="H16" s="283">
        <f t="shared" si="1"/>
        <v>0</v>
      </c>
      <c r="I16" s="194"/>
      <c r="J16" s="284">
        <f>AVERAGE(D70:INDEX(D70:H70,0,MATCH(Data!$B$3,$D$7:$H$7,0)))/AVERAGE($D$90:INDEX($D$90:$H$90,0,MATCH(Data!$B$3,$D$7:$H$7,0)))</f>
        <v>0</v>
      </c>
      <c r="K16" s="285">
        <f t="shared" si="2"/>
        <v>0</v>
      </c>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row>
    <row r="17" spans="2:55">
      <c r="B17" s="369" t="str">
        <f t="shared" si="3"/>
        <v/>
      </c>
      <c r="C17" s="370" t="s">
        <v>163</v>
      </c>
      <c r="D17" s="282">
        <f t="shared" si="1"/>
        <v>0</v>
      </c>
      <c r="E17" s="283">
        <f t="shared" si="1"/>
        <v>0</v>
      </c>
      <c r="F17" s="283">
        <f t="shared" si="1"/>
        <v>0</v>
      </c>
      <c r="G17" s="283">
        <f t="shared" si="1"/>
        <v>0</v>
      </c>
      <c r="H17" s="283">
        <f t="shared" si="1"/>
        <v>0</v>
      </c>
      <c r="I17" s="194"/>
      <c r="J17" s="284">
        <f>AVERAGE(D71:INDEX(D71:H71,0,MATCH(Data!$B$3,$D$7:$H$7,0)))/AVERAGE($D$90:INDEX($D$90:$H$90,0,MATCH(Data!$B$3,$D$7:$H$7,0)))</f>
        <v>0</v>
      </c>
      <c r="K17" s="285">
        <f t="shared" si="2"/>
        <v>0</v>
      </c>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row>
    <row r="18" spans="2:55">
      <c r="B18" s="369" t="str">
        <f t="shared" si="3"/>
        <v/>
      </c>
      <c r="C18" s="370" t="s">
        <v>163</v>
      </c>
      <c r="D18" s="282">
        <f t="shared" si="1"/>
        <v>0</v>
      </c>
      <c r="E18" s="283">
        <f t="shared" si="1"/>
        <v>0</v>
      </c>
      <c r="F18" s="283">
        <f t="shared" si="1"/>
        <v>0</v>
      </c>
      <c r="G18" s="283">
        <f t="shared" si="1"/>
        <v>0</v>
      </c>
      <c r="H18" s="283">
        <f t="shared" si="1"/>
        <v>0</v>
      </c>
      <c r="I18" s="194"/>
      <c r="J18" s="284">
        <f>AVERAGE(D72:INDEX(D72:H72,0,MATCH(Data!$B$3,$D$7:$H$7,0)))/AVERAGE($D$90:INDEX($D$90:$H$90,0,MATCH(Data!$B$3,$D$7:$H$7,0)))</f>
        <v>0</v>
      </c>
      <c r="K18" s="285">
        <f t="shared" si="2"/>
        <v>0</v>
      </c>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row>
    <row r="19" spans="2:55">
      <c r="B19" s="369" t="str">
        <f t="shared" si="3"/>
        <v/>
      </c>
      <c r="C19" s="370" t="s">
        <v>163</v>
      </c>
      <c r="D19" s="282">
        <f t="shared" si="1"/>
        <v>0</v>
      </c>
      <c r="E19" s="283">
        <f t="shared" si="1"/>
        <v>0</v>
      </c>
      <c r="F19" s="283">
        <f t="shared" si="1"/>
        <v>0</v>
      </c>
      <c r="G19" s="283">
        <f t="shared" si="1"/>
        <v>0</v>
      </c>
      <c r="H19" s="283">
        <f t="shared" si="1"/>
        <v>0</v>
      </c>
      <c r="I19" s="194"/>
      <c r="J19" s="284">
        <f>AVERAGE(D73:INDEX(D73:H73,0,MATCH(Data!$B$3,$D$7:$H$7,0)))/AVERAGE($D$90:INDEX($D$90:$H$90,0,MATCH(Data!$B$3,$D$7:$H$7,0)))</f>
        <v>0</v>
      </c>
      <c r="K19" s="285">
        <f t="shared" si="2"/>
        <v>0</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row>
    <row r="20" spans="2:55">
      <c r="B20" s="369" t="str">
        <f t="shared" si="3"/>
        <v>Network innovation input for RORE</v>
      </c>
      <c r="C20" s="370" t="s">
        <v>163</v>
      </c>
      <c r="D20" s="282">
        <f t="shared" si="1"/>
        <v>-8.692123735804483E-5</v>
      </c>
      <c r="E20" s="283">
        <f t="shared" si="1"/>
        <v>-1.7705934039902735E-4</v>
      </c>
      <c r="F20" s="283">
        <f t="shared" si="1"/>
        <v>-3.3714887820374123E-4</v>
      </c>
      <c r="G20" s="283">
        <f t="shared" si="1"/>
        <v>-4.7101272964956352E-4</v>
      </c>
      <c r="H20" s="283">
        <f t="shared" si="1"/>
        <v>-1.6022439387899565E-4</v>
      </c>
      <c r="I20" s="194"/>
      <c r="J20" s="284">
        <f>AVERAGE(D74:INDEX(D74:H74,0,MATCH(Data!$B$3,$D$7:$H$7,0)))/AVERAGE($D$90:INDEX($D$90:$H$90,0,MATCH(Data!$B$3,$D$7:$H$7,0)))</f>
        <v>-1.9933241002742394E-4</v>
      </c>
      <c r="K20" s="285">
        <f t="shared" si="2"/>
        <v>-2.4529376226434886E-4</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row>
    <row r="21" spans="2:55">
      <c r="B21" s="369" t="str">
        <f t="shared" si="3"/>
        <v>Carry-over Network innovation input for RORE</v>
      </c>
      <c r="C21" s="370" t="s">
        <v>163</v>
      </c>
      <c r="D21" s="460">
        <f t="shared" ref="D21:H21" si="4">D75/D$90</f>
        <v>-4.8713423423645299E-6</v>
      </c>
      <c r="E21" s="461">
        <f t="shared" si="4"/>
        <v>0</v>
      </c>
      <c r="F21" s="461">
        <f t="shared" si="4"/>
        <v>0</v>
      </c>
      <c r="G21" s="461">
        <f t="shared" si="4"/>
        <v>0</v>
      </c>
      <c r="H21" s="461">
        <f t="shared" si="4"/>
        <v>0</v>
      </c>
      <c r="I21" s="194"/>
      <c r="J21" s="284">
        <f>AVERAGE(D75:INDEX(D75:H75,0,MATCH(Data!$B$3,$D$7:$H$7,0)))/AVERAGE($D$90:INDEX($D$90:$H$90,0,MATCH(Data!$B$3,$D$7:$H$7,0)))</f>
        <v>-1.6457035790398274E-6</v>
      </c>
      <c r="K21" s="285">
        <f t="shared" ref="K21:K28" si="5">AVERAGE(D75:H75)/AVERAGE($D$90:$H$90)</f>
        <v>-9.9028912582170593E-7</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row>
    <row r="22" spans="2:55">
      <c r="B22" s="369" t="str">
        <f t="shared" si="3"/>
        <v>Strategic innovation input for RORE</v>
      </c>
      <c r="C22" s="370" t="s">
        <v>163</v>
      </c>
      <c r="D22" s="460">
        <f t="shared" ref="D22:H22" si="6">D76/D$90</f>
        <v>-4.6830085496841361E-6</v>
      </c>
      <c r="E22" s="461">
        <f t="shared" si="6"/>
        <v>-1.0105678657784842E-4</v>
      </c>
      <c r="F22" s="461">
        <f t="shared" si="6"/>
        <v>-2.9805206238037863E-4</v>
      </c>
      <c r="G22" s="461">
        <f t="shared" si="6"/>
        <v>-8.3936427266662278E-4</v>
      </c>
      <c r="H22" s="461">
        <f t="shared" si="6"/>
        <v>-7.6995744443170112E-4</v>
      </c>
      <c r="I22" s="194"/>
      <c r="J22" s="284">
        <f>AVERAGE(D76:INDEX(D76:H76,0,MATCH(Data!$B$3,$D$7:$H$7,0)))/AVERAGE($D$90:INDEX($D$90:$H$90,0,MATCH(Data!$B$3,$D$7:$H$7,0)))</f>
        <v>-1.3337797130846018E-4</v>
      </c>
      <c r="K22" s="285">
        <f t="shared" si="5"/>
        <v>-4.0064340367166712E-4</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row>
    <row r="23" spans="2:55">
      <c r="B23" s="369" t="str">
        <f t="shared" si="3"/>
        <v/>
      </c>
      <c r="C23" s="370" t="s">
        <v>163</v>
      </c>
      <c r="D23" s="460">
        <f t="shared" ref="D23:H23" si="7">D77/D$90</f>
        <v>0</v>
      </c>
      <c r="E23" s="461">
        <f t="shared" si="7"/>
        <v>0</v>
      </c>
      <c r="F23" s="461">
        <f t="shared" si="7"/>
        <v>0</v>
      </c>
      <c r="G23" s="461">
        <f t="shared" si="7"/>
        <v>0</v>
      </c>
      <c r="H23" s="461">
        <f t="shared" si="7"/>
        <v>0</v>
      </c>
      <c r="I23" s="194"/>
      <c r="J23" s="284">
        <f>AVERAGE(D77:INDEX(D77:H77,0,MATCH(Data!$B$3,$D$7:$H$7,0)))/AVERAGE($D$90:INDEX($D$90:$H$90,0,MATCH(Data!$B$3,$D$7:$H$7,0)))</f>
        <v>0</v>
      </c>
      <c r="K23" s="285">
        <f t="shared" si="5"/>
        <v>0</v>
      </c>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row>
    <row r="24" spans="2:55">
      <c r="B24" s="369" t="str">
        <f t="shared" si="3"/>
        <v/>
      </c>
      <c r="C24" s="370" t="s">
        <v>163</v>
      </c>
      <c r="D24" s="460">
        <f t="shared" ref="D24:H24" si="8">D78/D$90</f>
        <v>0</v>
      </c>
      <c r="E24" s="461">
        <f t="shared" si="8"/>
        <v>0</v>
      </c>
      <c r="F24" s="461">
        <f t="shared" si="8"/>
        <v>0</v>
      </c>
      <c r="G24" s="461">
        <f t="shared" si="8"/>
        <v>0</v>
      </c>
      <c r="H24" s="461">
        <f t="shared" si="8"/>
        <v>0</v>
      </c>
      <c r="I24" s="194"/>
      <c r="J24" s="284">
        <f>AVERAGE(D78:INDEX(D78:H78,0,MATCH(Data!$B$3,$D$7:$H$7,0)))/AVERAGE($D$90:INDEX($D$90:$H$90,0,MATCH(Data!$B$3,$D$7:$H$7,0)))</f>
        <v>0</v>
      </c>
      <c r="K24" s="285">
        <f t="shared" si="5"/>
        <v>0</v>
      </c>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row>
    <row r="25" spans="2:55">
      <c r="B25" s="369" t="str">
        <f t="shared" si="3"/>
        <v/>
      </c>
      <c r="C25" s="370" t="s">
        <v>163</v>
      </c>
      <c r="D25" s="460">
        <f t="shared" ref="D25:H25" si="9">D79/D$90</f>
        <v>0</v>
      </c>
      <c r="E25" s="461">
        <f t="shared" si="9"/>
        <v>0</v>
      </c>
      <c r="F25" s="461">
        <f t="shared" si="9"/>
        <v>0</v>
      </c>
      <c r="G25" s="461">
        <f t="shared" si="9"/>
        <v>0</v>
      </c>
      <c r="H25" s="461">
        <f t="shared" si="9"/>
        <v>0</v>
      </c>
      <c r="I25" s="194"/>
      <c r="J25" s="284">
        <f>AVERAGE(D79:INDEX(D79:H79,0,MATCH(Data!$B$3,$D$7:$H$7,0)))/AVERAGE($D$90:INDEX($D$90:$H$90,0,MATCH(Data!$B$3,$D$7:$H$7,0)))</f>
        <v>0</v>
      </c>
      <c r="K25" s="285">
        <f t="shared" si="5"/>
        <v>0</v>
      </c>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row>
    <row r="26" spans="2:55">
      <c r="B26" s="369" t="str">
        <f t="shared" si="3"/>
        <v/>
      </c>
      <c r="C26" s="370" t="s">
        <v>163</v>
      </c>
      <c r="D26" s="460">
        <f t="shared" ref="D26:H26" si="10">D80/D$90</f>
        <v>0</v>
      </c>
      <c r="E26" s="461">
        <f t="shared" si="10"/>
        <v>0</v>
      </c>
      <c r="F26" s="461">
        <f t="shared" si="10"/>
        <v>0</v>
      </c>
      <c r="G26" s="461">
        <f t="shared" si="10"/>
        <v>0</v>
      </c>
      <c r="H26" s="461">
        <f t="shared" si="10"/>
        <v>0</v>
      </c>
      <c r="I26" s="194"/>
      <c r="J26" s="284">
        <f>AVERAGE(D80:INDEX(D80:H80,0,MATCH(Data!$B$3,$D$7:$H$7,0)))/AVERAGE($D$90:INDEX($D$90:$H$90,0,MATCH(Data!$B$3,$D$7:$H$7,0)))</f>
        <v>0</v>
      </c>
      <c r="K26" s="285">
        <f t="shared" si="5"/>
        <v>0</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row>
    <row r="27" spans="2:55">
      <c r="B27" s="369" t="str">
        <f t="shared" si="3"/>
        <v/>
      </c>
      <c r="C27" s="370" t="s">
        <v>163</v>
      </c>
      <c r="D27" s="460">
        <f t="shared" ref="D27:H27" si="11">D81/D$90</f>
        <v>0</v>
      </c>
      <c r="E27" s="461">
        <f t="shared" si="11"/>
        <v>0</v>
      </c>
      <c r="F27" s="461">
        <f t="shared" si="11"/>
        <v>0</v>
      </c>
      <c r="G27" s="461">
        <f t="shared" si="11"/>
        <v>0</v>
      </c>
      <c r="H27" s="461">
        <f t="shared" si="11"/>
        <v>0</v>
      </c>
      <c r="I27" s="194"/>
      <c r="J27" s="284">
        <f>AVERAGE(D81:INDEX(D81:H81,0,MATCH(Data!$B$3,$D$7:$H$7,0)))/AVERAGE($D$90:INDEX($D$90:$H$90,0,MATCH(Data!$B$3,$D$7:$H$7,0)))</f>
        <v>0</v>
      </c>
      <c r="K27" s="285">
        <f t="shared" si="5"/>
        <v>0</v>
      </c>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row>
    <row r="28" spans="2:55">
      <c r="B28" s="369" t="str">
        <f t="shared" si="3"/>
        <v>Penalties and fines (Other Activities)</v>
      </c>
      <c r="C28" s="370" t="s">
        <v>163</v>
      </c>
      <c r="D28" s="460">
        <f t="shared" ref="D28:H28" si="12">D82/D$90</f>
        <v>0</v>
      </c>
      <c r="E28" s="461">
        <f t="shared" si="12"/>
        <v>0</v>
      </c>
      <c r="F28" s="461">
        <f t="shared" si="12"/>
        <v>0</v>
      </c>
      <c r="G28" s="461">
        <f t="shared" si="12"/>
        <v>0</v>
      </c>
      <c r="H28" s="461">
        <f t="shared" si="12"/>
        <v>0</v>
      </c>
      <c r="I28" s="194"/>
      <c r="J28" s="284">
        <f>AVERAGE(D82:INDEX(D82:H82,0,MATCH(Data!$B$3,$D$7:$H$7,0)))/AVERAGE($D$90:INDEX($D$90:$H$90,0,MATCH(Data!$B$3,$D$7:$H$7,0)))</f>
        <v>0</v>
      </c>
      <c r="K28" s="285">
        <f t="shared" si="5"/>
        <v>0</v>
      </c>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row>
    <row r="29" spans="2:55">
      <c r="B29" s="372" t="str">
        <f t="shared" si="3"/>
        <v>RoRE - Operational performance</v>
      </c>
      <c r="C29" s="370" t="s">
        <v>163</v>
      </c>
      <c r="D29" s="324">
        <f>SUM(D11:D28)</f>
        <v>4.2579371149447494E-2</v>
      </c>
      <c r="E29" s="373">
        <f t="shared" ref="E29:H29" si="13">SUM(E11:E28)</f>
        <v>4.5280651964436661E-2</v>
      </c>
      <c r="F29" s="373">
        <f t="shared" si="13"/>
        <v>5.3316872694454426E-2</v>
      </c>
      <c r="G29" s="373">
        <f t="shared" si="13"/>
        <v>5.6219920995250416E-2</v>
      </c>
      <c r="H29" s="373">
        <f t="shared" si="13"/>
        <v>5.6935821403488636E-2</v>
      </c>
      <c r="I29" s="287"/>
      <c r="J29" s="151">
        <f t="shared" ref="J29:K29" si="14">SUM(J11:J28)</f>
        <v>4.7014760874532623E-2</v>
      </c>
      <c r="K29" s="323">
        <f t="shared" si="14"/>
        <v>5.0824152557630148E-2</v>
      </c>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row>
    <row r="30" spans="2:55">
      <c r="B30" s="369" t="str">
        <f>B84</f>
        <v>Debt performance - at notional gearing</v>
      </c>
      <c r="C30" s="370" t="s">
        <v>163</v>
      </c>
      <c r="D30" s="282">
        <f>(D84)/D$90</f>
        <v>-9.0220506120243134E-3</v>
      </c>
      <c r="E30" s="283">
        <f t="shared" ref="E30:H30" si="15">(E84)/E$90</f>
        <v>6.7257052260914748E-3</v>
      </c>
      <c r="F30" s="283">
        <f t="shared" si="15"/>
        <v>1.1480055672300435E-2</v>
      </c>
      <c r="G30" s="283">
        <f t="shared" si="15"/>
        <v>1.357947830053599E-3</v>
      </c>
      <c r="H30" s="283">
        <f t="shared" si="15"/>
        <v>-9.8217400961567065E-3</v>
      </c>
      <c r="I30" s="194"/>
      <c r="J30" s="284">
        <f>AVERAGE(D84:INDEX(D84:H84,0,MATCH(Data!$B$3,$D$7:$H$7,0)))/AVERAGE($D$90:INDEX($D$90:$H$90,0,MATCH(Data!$B$3,$D$7:$H$7,0)))</f>
        <v>2.9714062974521963E-3</v>
      </c>
      <c r="K30" s="285">
        <f>AVERAGE(D84:H84)/AVERAGE($D$90:$H$90)</f>
        <v>9.0025040766013997E-5</v>
      </c>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row>
    <row r="31" spans="2:55">
      <c r="B31" s="369" t="str">
        <f>B86</f>
        <v>Tax performance - at notional gearing</v>
      </c>
      <c r="C31" s="370" t="s">
        <v>163</v>
      </c>
      <c r="D31" s="282">
        <f>(D86)/D$90</f>
        <v>8.4218424640401558E-3</v>
      </c>
      <c r="E31" s="283">
        <f t="shared" ref="E31:H31" si="16">(E86)/E$90</f>
        <v>1.8622738295667622E-2</v>
      </c>
      <c r="F31" s="283">
        <f t="shared" si="16"/>
        <v>5.8421169175811366E-3</v>
      </c>
      <c r="G31" s="283">
        <f t="shared" si="16"/>
        <v>4.0446390392894806E-3</v>
      </c>
      <c r="H31" s="283">
        <f t="shared" si="16"/>
        <v>-3.6922127936985801E-4</v>
      </c>
      <c r="I31" s="194"/>
      <c r="J31" s="284">
        <f>AVERAGE(D86:INDEX(D86:H86,0,MATCH(Data!$B$3,$D$7:$H$7,0)))/AVERAGE($D$90:INDEX($D$90:$H$90,0,MATCH(Data!$B$3,$D$7:$H$7,0)))</f>
        <v>1.0967292706019881E-2</v>
      </c>
      <c r="K31" s="285">
        <f>AVERAGE(D86:H86)/AVERAGE($D$90:$H$90)</f>
        <v>7.3263855864285762E-3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row>
    <row r="32" spans="2:55">
      <c r="B32" s="372" t="str">
        <f>B88</f>
        <v>RoRE - including financing and tax</v>
      </c>
      <c r="C32" s="370" t="s">
        <v>163</v>
      </c>
      <c r="D32" s="151">
        <f>SUM(D29:D31)</f>
        <v>4.1979163001463329E-2</v>
      </c>
      <c r="E32" s="325">
        <f t="shared" ref="E32:H32" si="17">SUM(E29:E31)</f>
        <v>7.0629095486195753E-2</v>
      </c>
      <c r="F32" s="325">
        <f t="shared" si="17"/>
        <v>7.0639045284335997E-2</v>
      </c>
      <c r="G32" s="325">
        <f t="shared" si="17"/>
        <v>6.1622507864593501E-2</v>
      </c>
      <c r="H32" s="325">
        <f t="shared" si="17"/>
        <v>4.6744860027962069E-2</v>
      </c>
      <c r="I32" s="287"/>
      <c r="J32" s="151">
        <f>SUM(J29:J31)</f>
        <v>6.0953459878004698E-2</v>
      </c>
      <c r="K32" s="323">
        <f>SUM(K29:K31)</f>
        <v>5.8240563184824741E-2</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row>
    <row r="33" spans="2:55">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row>
    <row r="34" spans="2:55">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row>
    <row r="35" spans="2:55">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row>
    <row r="36" spans="2:55">
      <c r="B36" s="366" t="s">
        <v>57</v>
      </c>
      <c r="C36" s="367"/>
      <c r="D36" s="367"/>
      <c r="E36" s="367"/>
      <c r="F36" s="367"/>
      <c r="G36" s="367"/>
      <c r="H36" s="367"/>
      <c r="I36" s="368"/>
      <c r="J36" s="367"/>
      <c r="K36" s="367"/>
      <c r="L36" s="367"/>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row>
    <row r="37" spans="2:55">
      <c r="B37" s="147"/>
      <c r="I37" s="345"/>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row>
    <row r="38" spans="2:55">
      <c r="B38" s="369" t="str">
        <f>ET!B38</f>
        <v>Allowed Equity Return</v>
      </c>
      <c r="C38" s="370" t="s">
        <v>163</v>
      </c>
      <c r="D38" s="282">
        <f t="shared" ref="D38:H47" si="18">D65/D$91</f>
        <v>4.0964391988342813E-2</v>
      </c>
      <c r="E38" s="283">
        <f t="shared" si="18"/>
        <v>3.7016339723734214E-2</v>
      </c>
      <c r="F38" s="283">
        <f t="shared" si="18"/>
        <v>4.0770746607483296E-2</v>
      </c>
      <c r="G38" s="283">
        <f t="shared" si="18"/>
        <v>4.5693998885825697E-2</v>
      </c>
      <c r="H38" s="283">
        <f t="shared" si="18"/>
        <v>5.0152512725088104E-2</v>
      </c>
      <c r="I38" s="194"/>
      <c r="J38" s="284">
        <f>AVERAGE(D65:INDEX(D65:H65,0,MATCH(Data!$B$3,$D$7:$H$7,0)))/AVERAGE($D$91:INDEX($D$91:$H$91,0,MATCH(Data!$B$3,$D$7:$H$7,0)))</f>
        <v>3.9558236784513888E-2</v>
      </c>
      <c r="K38" s="285">
        <f t="shared" ref="K38:K47" si="19">AVERAGE(D65:H65)/AVERAGE($D$91:$H$91)</f>
        <v>4.276799517726397E-2</v>
      </c>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row>
    <row r="39" spans="2:55">
      <c r="B39" s="369" t="str">
        <f t="shared" ref="B39:B55" si="20">B66</f>
        <v>Totex outperformance</v>
      </c>
      <c r="C39" s="370" t="s">
        <v>163</v>
      </c>
      <c r="D39" s="282">
        <f t="shared" si="18"/>
        <v>-2.0195625931123534E-3</v>
      </c>
      <c r="E39" s="283">
        <f t="shared" si="18"/>
        <v>1.99162573049692E-4</v>
      </c>
      <c r="F39" s="283">
        <f t="shared" si="18"/>
        <v>1.0612665789104662E-3</v>
      </c>
      <c r="G39" s="283">
        <f t="shared" si="18"/>
        <v>1.5622762485639062E-3</v>
      </c>
      <c r="H39" s="283">
        <f t="shared" si="18"/>
        <v>2.6752991057954318E-3</v>
      </c>
      <c r="I39" s="194"/>
      <c r="J39" s="284">
        <f>AVERAGE(D66:INDEX(D66:H66,0,MATCH(Data!$B$3,$D$7:$H$7,0)))/AVERAGE($D$91:INDEX($D$91:$H$91,0,MATCH(Data!$B$3,$D$7:$H$7,0)))</f>
        <v>-1.8028096701753652E-4</v>
      </c>
      <c r="K39" s="285">
        <f t="shared" si="19"/>
        <v>7.0292887221430568E-4</v>
      </c>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row>
    <row r="40" spans="2:55">
      <c r="B40" s="369" t="str">
        <f t="shared" si="20"/>
        <v>Business Plan Incentive</v>
      </c>
      <c r="C40" s="370" t="s">
        <v>163</v>
      </c>
      <c r="D40" s="282">
        <f t="shared" si="18"/>
        <v>-1.7058194074911072E-3</v>
      </c>
      <c r="E40" s="283">
        <f t="shared" si="18"/>
        <v>-1.5513713067559227E-3</v>
      </c>
      <c r="F40" s="283">
        <f t="shared" si="18"/>
        <v>-1.4892849351180097E-3</v>
      </c>
      <c r="G40" s="283">
        <f t="shared" si="18"/>
        <v>-1.5797002897388636E-3</v>
      </c>
      <c r="H40" s="283">
        <f t="shared" si="18"/>
        <v>-1.7360566702228973E-3</v>
      </c>
      <c r="I40" s="194"/>
      <c r="J40" s="284">
        <f>AVERAGE(D67:INDEX(D67:H67,0,MATCH(Data!$B$3,$D$7:$H$7,0)))/AVERAGE($D$91:INDEX($D$91:$H$91,0,MATCH(Data!$B$3,$D$7:$H$7,0)))</f>
        <v>-1.5770526471769711E-3</v>
      </c>
      <c r="K40" s="285">
        <f t="shared" si="19"/>
        <v>-1.6070286261907936E-3</v>
      </c>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row>
    <row r="41" spans="2:55">
      <c r="B41" s="369" t="str">
        <f t="shared" si="20"/>
        <v>Customer satisfaction survey ODI</v>
      </c>
      <c r="C41" s="370" t="s">
        <v>163</v>
      </c>
      <c r="D41" s="282">
        <f t="shared" si="18"/>
        <v>1.4329826550599411E-3</v>
      </c>
      <c r="E41" s="283">
        <f t="shared" si="18"/>
        <v>1.3032377075651851E-3</v>
      </c>
      <c r="F41" s="283">
        <f t="shared" si="18"/>
        <v>1.2510817212503216E-3</v>
      </c>
      <c r="G41" s="283">
        <f t="shared" si="18"/>
        <v>1.3270356202116057E-3</v>
      </c>
      <c r="H41" s="283">
        <f t="shared" si="18"/>
        <v>1.4583836282467068E-3</v>
      </c>
      <c r="I41" s="194"/>
      <c r="J41" s="284">
        <f>AVERAGE(D68:INDEX(D68:H68,0,MATCH(Data!$B$3,$D$7:$H$7,0)))/AVERAGE($D$91:INDEX($D$91:$H$91,0,MATCH(Data!$B$3,$D$7:$H$7,0)))</f>
        <v>1.3248114540124589E-3</v>
      </c>
      <c r="K41" s="285">
        <f t="shared" si="19"/>
        <v>1.3499929344239325E-3</v>
      </c>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row>
    <row r="42" spans="2:55">
      <c r="B42" s="369" t="str">
        <f t="shared" si="20"/>
        <v>Environmental scorecard ODI</v>
      </c>
      <c r="C42" s="370" t="s">
        <v>163</v>
      </c>
      <c r="D42" s="282">
        <f t="shared" si="18"/>
        <v>2.0290093226793842E-5</v>
      </c>
      <c r="E42" s="283">
        <f t="shared" si="18"/>
        <v>4.1386374986344757E-5</v>
      </c>
      <c r="F42" s="283">
        <f t="shared" si="18"/>
        <v>3.9771709780985779E-5</v>
      </c>
      <c r="G42" s="283">
        <f t="shared" si="18"/>
        <v>4.368841548021747E-5</v>
      </c>
      <c r="H42" s="283">
        <f t="shared" si="18"/>
        <v>4.801262973651709E-5</v>
      </c>
      <c r="I42" s="194"/>
      <c r="J42" s="284">
        <f>AVERAGE(D69:INDEX(D69:H69,0,MATCH(Data!$B$3,$D$7:$H$7,0)))/AVERAGE($D$91:INDEX($D$91:$H$91,0,MATCH(Data!$B$3,$D$7:$H$7,0)))</f>
        <v>3.4315170328408542E-5</v>
      </c>
      <c r="K42" s="285">
        <f t="shared" si="19"/>
        <v>3.8758136259264265E-5</v>
      </c>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row>
    <row r="43" spans="2:55">
      <c r="B43" s="369" t="str">
        <f t="shared" si="20"/>
        <v/>
      </c>
      <c r="C43" s="370" t="s">
        <v>163</v>
      </c>
      <c r="D43" s="282">
        <f t="shared" si="18"/>
        <v>0</v>
      </c>
      <c r="E43" s="283">
        <f t="shared" si="18"/>
        <v>0</v>
      </c>
      <c r="F43" s="283">
        <f t="shared" si="18"/>
        <v>0</v>
      </c>
      <c r="G43" s="283">
        <f t="shared" si="18"/>
        <v>0</v>
      </c>
      <c r="H43" s="283">
        <f t="shared" si="18"/>
        <v>0</v>
      </c>
      <c r="I43" s="194"/>
      <c r="J43" s="284">
        <f>AVERAGE(D70:INDEX(D70:H70,0,MATCH(Data!$B$3,$D$7:$H$7,0)))/AVERAGE($D$91:INDEX($D$91:$H$91,0,MATCH(Data!$B$3,$D$7:$H$7,0)))</f>
        <v>0</v>
      </c>
      <c r="K43" s="285">
        <f t="shared" si="19"/>
        <v>0</v>
      </c>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row>
    <row r="44" spans="2:55">
      <c r="B44" s="369" t="str">
        <f t="shared" si="20"/>
        <v/>
      </c>
      <c r="C44" s="370" t="s">
        <v>163</v>
      </c>
      <c r="D44" s="282">
        <f t="shared" si="18"/>
        <v>0</v>
      </c>
      <c r="E44" s="283">
        <f t="shared" si="18"/>
        <v>0</v>
      </c>
      <c r="F44" s="283">
        <f t="shared" si="18"/>
        <v>0</v>
      </c>
      <c r="G44" s="283">
        <f t="shared" si="18"/>
        <v>0</v>
      </c>
      <c r="H44" s="283">
        <f t="shared" si="18"/>
        <v>0</v>
      </c>
      <c r="I44" s="194"/>
      <c r="J44" s="284">
        <f>AVERAGE(D71:INDEX(D71:H71,0,MATCH(Data!$B$3,$D$7:$H$7,0)))/AVERAGE($D$91:INDEX($D$91:$H$91,0,MATCH(Data!$B$3,$D$7:$H$7,0)))</f>
        <v>0</v>
      </c>
      <c r="K44" s="285">
        <f t="shared" si="19"/>
        <v>0</v>
      </c>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row>
    <row r="45" spans="2:55">
      <c r="B45" s="369" t="str">
        <f t="shared" si="20"/>
        <v/>
      </c>
      <c r="C45" s="370" t="s">
        <v>163</v>
      </c>
      <c r="D45" s="282">
        <f t="shared" si="18"/>
        <v>0</v>
      </c>
      <c r="E45" s="283">
        <f t="shared" si="18"/>
        <v>0</v>
      </c>
      <c r="F45" s="283">
        <f t="shared" si="18"/>
        <v>0</v>
      </c>
      <c r="G45" s="283">
        <f t="shared" si="18"/>
        <v>0</v>
      </c>
      <c r="H45" s="283">
        <f t="shared" si="18"/>
        <v>0</v>
      </c>
      <c r="I45" s="194"/>
      <c r="J45" s="284">
        <f>AVERAGE(D72:INDEX(D72:H72,0,MATCH(Data!$B$3,$D$7:$H$7,0)))/AVERAGE($D$91:INDEX($D$91:$H$91,0,MATCH(Data!$B$3,$D$7:$H$7,0)))</f>
        <v>0</v>
      </c>
      <c r="K45" s="285">
        <f t="shared" si="19"/>
        <v>0</v>
      </c>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row>
    <row r="46" spans="2:55">
      <c r="B46" s="369" t="str">
        <f t="shared" si="20"/>
        <v/>
      </c>
      <c r="C46" s="370" t="s">
        <v>163</v>
      </c>
      <c r="D46" s="282">
        <f t="shared" si="18"/>
        <v>0</v>
      </c>
      <c r="E46" s="283">
        <f t="shared" si="18"/>
        <v>0</v>
      </c>
      <c r="F46" s="283">
        <f t="shared" si="18"/>
        <v>0</v>
      </c>
      <c r="G46" s="283">
        <f t="shared" si="18"/>
        <v>0</v>
      </c>
      <c r="H46" s="283">
        <f t="shared" si="18"/>
        <v>0</v>
      </c>
      <c r="I46" s="194"/>
      <c r="J46" s="284">
        <f>AVERAGE(D73:INDEX(D73:H73,0,MATCH(Data!$B$3,$D$7:$H$7,0)))/AVERAGE($D$91:INDEX($D$91:$H$91,0,MATCH(Data!$B$3,$D$7:$H$7,0)))</f>
        <v>0</v>
      </c>
      <c r="K46" s="285">
        <f t="shared" si="19"/>
        <v>0</v>
      </c>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row>
    <row r="47" spans="2:55">
      <c r="B47" s="369" t="str">
        <f t="shared" si="20"/>
        <v>Network innovation input for RORE</v>
      </c>
      <c r="C47" s="370" t="s">
        <v>163</v>
      </c>
      <c r="D47" s="282">
        <f t="shared" si="18"/>
        <v>-7.8807600755859074E-5</v>
      </c>
      <c r="E47" s="283">
        <f t="shared" si="18"/>
        <v>-1.4383061782952561E-4</v>
      </c>
      <c r="F47" s="283">
        <f t="shared" si="18"/>
        <v>-2.6017008085260461E-4</v>
      </c>
      <c r="G47" s="283">
        <f t="shared" si="18"/>
        <v>-3.8518619648391739E-4</v>
      </c>
      <c r="H47" s="283">
        <f t="shared" si="18"/>
        <v>-1.4563831020076852E-4</v>
      </c>
      <c r="I47" s="194"/>
      <c r="J47" s="284">
        <f>AVERAGE(D74:INDEX(D74:H74,0,MATCH(Data!$B$3,$D$7:$H$7,0)))/AVERAGE($D$91:INDEX($D$91:$H$91,0,MATCH(Data!$B$3,$D$7:$H$7,0)))</f>
        <v>-1.6485762812431615E-4</v>
      </c>
      <c r="K47" s="285">
        <f t="shared" si="19"/>
        <v>-2.0612748719824419E-4</v>
      </c>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row>
    <row r="48" spans="2:55">
      <c r="B48" s="369" t="str">
        <f t="shared" si="20"/>
        <v>Carry-over Network innovation input for RORE</v>
      </c>
      <c r="C48" s="370" t="s">
        <v>163</v>
      </c>
      <c r="D48" s="460">
        <f t="shared" ref="D48:H48" si="21">D75/D$91</f>
        <v>-4.4166283652960936E-6</v>
      </c>
      <c r="E48" s="461">
        <f t="shared" si="21"/>
        <v>0</v>
      </c>
      <c r="F48" s="461">
        <f t="shared" si="21"/>
        <v>0</v>
      </c>
      <c r="G48" s="461">
        <f t="shared" si="21"/>
        <v>0</v>
      </c>
      <c r="H48" s="461">
        <f t="shared" si="21"/>
        <v>0</v>
      </c>
      <c r="I48" s="194"/>
      <c r="J48" s="284">
        <f>AVERAGE(D75:INDEX(D75:H75,0,MATCH(Data!$B$3,$D$7:$H$7,0)))/AVERAGE($D$91:INDEX($D$91:$H$91,0,MATCH(Data!$B$3,$D$7:$H$7,0)))</f>
        <v>-1.3610771504687968E-6</v>
      </c>
      <c r="K48" s="285">
        <f t="shared" ref="K48:K55" si="22">AVERAGE(D75:H75)/AVERAGE($D$91:$H$91)</f>
        <v>-8.3216877274437664E-7</v>
      </c>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row>
    <row r="49" spans="2:55">
      <c r="B49" s="369" t="str">
        <f t="shared" si="20"/>
        <v>Strategic innovation input for RORE</v>
      </c>
      <c r="C49" s="370" t="s">
        <v>163</v>
      </c>
      <c r="D49" s="460">
        <f t="shared" ref="D49:H49" si="23">D76/D$91</f>
        <v>-4.2458745335109372E-6</v>
      </c>
      <c r="E49" s="461">
        <f t="shared" si="23"/>
        <v>-8.2091461634284358E-5</v>
      </c>
      <c r="F49" s="461">
        <f t="shared" si="23"/>
        <v>-2.2999996197800836E-4</v>
      </c>
      <c r="G49" s="461">
        <f t="shared" si="23"/>
        <v>-6.8641782122001672E-4</v>
      </c>
      <c r="H49" s="461">
        <f t="shared" si="23"/>
        <v>-6.9986409945929748E-4</v>
      </c>
      <c r="I49" s="194"/>
      <c r="J49" s="284">
        <f>AVERAGE(D76:INDEX(D76:H76,0,MATCH(Data!$B$3,$D$7:$H$7,0)))/AVERAGE($D$91:INDEX($D$91:$H$91,0,MATCH(Data!$B$3,$D$7:$H$7,0)))</f>
        <v>-1.1031008951790983E-4</v>
      </c>
      <c r="K49" s="285">
        <f t="shared" si="22"/>
        <v>-3.3667231200275522E-4</v>
      </c>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row>
    <row r="50" spans="2:55">
      <c r="B50" s="369" t="str">
        <f t="shared" si="20"/>
        <v/>
      </c>
      <c r="C50" s="370" t="s">
        <v>163</v>
      </c>
      <c r="D50" s="460">
        <f t="shared" ref="D50:H50" si="24">D77/D$91</f>
        <v>0</v>
      </c>
      <c r="E50" s="461">
        <f t="shared" si="24"/>
        <v>0</v>
      </c>
      <c r="F50" s="461">
        <f t="shared" si="24"/>
        <v>0</v>
      </c>
      <c r="G50" s="461">
        <f t="shared" si="24"/>
        <v>0</v>
      </c>
      <c r="H50" s="461">
        <f t="shared" si="24"/>
        <v>0</v>
      </c>
      <c r="I50" s="194"/>
      <c r="J50" s="284">
        <f>AVERAGE(D77:INDEX(D77:H77,0,MATCH(Data!$B$3,$D$7:$H$7,0)))/AVERAGE($D$91:INDEX($D$91:$H$91,0,MATCH(Data!$B$3,$D$7:$H$7,0)))</f>
        <v>0</v>
      </c>
      <c r="K50" s="285">
        <f t="shared" si="22"/>
        <v>0</v>
      </c>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row>
    <row r="51" spans="2:55">
      <c r="B51" s="369" t="str">
        <f t="shared" si="20"/>
        <v/>
      </c>
      <c r="C51" s="370" t="s">
        <v>163</v>
      </c>
      <c r="D51" s="460">
        <f t="shared" ref="D51:H51" si="25">D78/D$91</f>
        <v>0</v>
      </c>
      <c r="E51" s="461">
        <f t="shared" si="25"/>
        <v>0</v>
      </c>
      <c r="F51" s="461">
        <f t="shared" si="25"/>
        <v>0</v>
      </c>
      <c r="G51" s="461">
        <f t="shared" si="25"/>
        <v>0</v>
      </c>
      <c r="H51" s="461">
        <f t="shared" si="25"/>
        <v>0</v>
      </c>
      <c r="I51" s="194"/>
      <c r="J51" s="284">
        <f>AVERAGE(D78:INDEX(D78:H78,0,MATCH(Data!$B$3,$D$7:$H$7,0)))/AVERAGE($D$91:INDEX($D$91:$H$91,0,MATCH(Data!$B$3,$D$7:$H$7,0)))</f>
        <v>0</v>
      </c>
      <c r="K51" s="285">
        <f t="shared" si="22"/>
        <v>0</v>
      </c>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row>
    <row r="52" spans="2:55">
      <c r="B52" s="369" t="str">
        <f t="shared" si="20"/>
        <v/>
      </c>
      <c r="C52" s="370" t="s">
        <v>163</v>
      </c>
      <c r="D52" s="460">
        <f t="shared" ref="D52:H52" si="26">D79/D$91</f>
        <v>0</v>
      </c>
      <c r="E52" s="461">
        <f t="shared" si="26"/>
        <v>0</v>
      </c>
      <c r="F52" s="461">
        <f t="shared" si="26"/>
        <v>0</v>
      </c>
      <c r="G52" s="461">
        <f t="shared" si="26"/>
        <v>0</v>
      </c>
      <c r="H52" s="461">
        <f t="shared" si="26"/>
        <v>0</v>
      </c>
      <c r="I52" s="194"/>
      <c r="J52" s="284">
        <f>AVERAGE(D79:INDEX(D79:H79,0,MATCH(Data!$B$3,$D$7:$H$7,0)))/AVERAGE($D$91:INDEX($D$91:$H$91,0,MATCH(Data!$B$3,$D$7:$H$7,0)))</f>
        <v>0</v>
      </c>
      <c r="K52" s="285">
        <f t="shared" si="22"/>
        <v>0</v>
      </c>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row>
    <row r="53" spans="2:55">
      <c r="B53" s="369" t="str">
        <f t="shared" si="20"/>
        <v/>
      </c>
      <c r="C53" s="370" t="s">
        <v>163</v>
      </c>
      <c r="D53" s="460">
        <f t="shared" ref="D53:H53" si="27">D80/D$91</f>
        <v>0</v>
      </c>
      <c r="E53" s="461">
        <f t="shared" si="27"/>
        <v>0</v>
      </c>
      <c r="F53" s="461">
        <f t="shared" si="27"/>
        <v>0</v>
      </c>
      <c r="G53" s="461">
        <f t="shared" si="27"/>
        <v>0</v>
      </c>
      <c r="H53" s="461">
        <f t="shared" si="27"/>
        <v>0</v>
      </c>
      <c r="I53" s="194"/>
      <c r="J53" s="284">
        <f>AVERAGE(D80:INDEX(D80:H80,0,MATCH(Data!$B$3,$D$7:$H$7,0)))/AVERAGE($D$91:INDEX($D$91:$H$91,0,MATCH(Data!$B$3,$D$7:$H$7,0)))</f>
        <v>0</v>
      </c>
      <c r="K53" s="285">
        <f t="shared" si="22"/>
        <v>0</v>
      </c>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row>
    <row r="54" spans="2:55">
      <c r="B54" s="369" t="str">
        <f t="shared" si="20"/>
        <v/>
      </c>
      <c r="C54" s="370" t="s">
        <v>163</v>
      </c>
      <c r="D54" s="460">
        <f t="shared" ref="D54:H54" si="28">D81/D$91</f>
        <v>0</v>
      </c>
      <c r="E54" s="461">
        <f t="shared" si="28"/>
        <v>0</v>
      </c>
      <c r="F54" s="461">
        <f t="shared" si="28"/>
        <v>0</v>
      </c>
      <c r="G54" s="461">
        <f t="shared" si="28"/>
        <v>0</v>
      </c>
      <c r="H54" s="461">
        <f t="shared" si="28"/>
        <v>0</v>
      </c>
      <c r="I54" s="194"/>
      <c r="J54" s="284">
        <f>AVERAGE(D81:INDEX(D81:H81,0,MATCH(Data!$B$3,$D$7:$H$7,0)))/AVERAGE($D$91:INDEX($D$91:$H$91,0,MATCH(Data!$B$3,$D$7:$H$7,0)))</f>
        <v>0</v>
      </c>
      <c r="K54" s="285">
        <f t="shared" si="22"/>
        <v>0</v>
      </c>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row>
    <row r="55" spans="2:55">
      <c r="B55" s="369" t="str">
        <f t="shared" si="20"/>
        <v>Penalties and fines (Other Activities)</v>
      </c>
      <c r="C55" s="370" t="s">
        <v>163</v>
      </c>
      <c r="D55" s="460">
        <f t="shared" ref="D55:H55" si="29">D82/D$91</f>
        <v>0</v>
      </c>
      <c r="E55" s="461">
        <f t="shared" si="29"/>
        <v>0</v>
      </c>
      <c r="F55" s="461">
        <f t="shared" si="29"/>
        <v>0</v>
      </c>
      <c r="G55" s="461">
        <f t="shared" si="29"/>
        <v>0</v>
      </c>
      <c r="H55" s="461">
        <f t="shared" si="29"/>
        <v>0</v>
      </c>
      <c r="I55" s="194"/>
      <c r="J55" s="284">
        <f>AVERAGE(D82:INDEX(D82:H82,0,MATCH(Data!$B$3,$D$7:$H$7,0)))/AVERAGE($D$91:INDEX($D$91:$H$91,0,MATCH(Data!$B$3,$D$7:$H$7,0)))</f>
        <v>0</v>
      </c>
      <c r="K55" s="285">
        <f t="shared" si="22"/>
        <v>0</v>
      </c>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row>
    <row r="56" spans="2:55">
      <c r="B56" s="372" t="str">
        <f>B83</f>
        <v>RoRE - Operational performance</v>
      </c>
      <c r="C56" s="370" t="s">
        <v>163</v>
      </c>
      <c r="D56" s="324">
        <f>SUM(D38:D55)</f>
        <v>3.8604812632371421E-2</v>
      </c>
      <c r="E56" s="373">
        <f t="shared" ref="E56:H56" si="30">SUM(E38:E55)</f>
        <v>3.6782832993115702E-2</v>
      </c>
      <c r="F56" s="373">
        <f t="shared" si="30"/>
        <v>4.1143411639476449E-2</v>
      </c>
      <c r="G56" s="373">
        <f t="shared" si="30"/>
        <v>4.5975694862638639E-2</v>
      </c>
      <c r="H56" s="373">
        <f t="shared" si="30"/>
        <v>5.1752649008983798E-2</v>
      </c>
      <c r="I56" s="287"/>
      <c r="J56" s="151">
        <f t="shared" ref="J56:K56" si="31">SUM(J38:J55)</f>
        <v>3.8883500999867558E-2</v>
      </c>
      <c r="K56" s="323">
        <f t="shared" si="31"/>
        <v>4.2709014525996944E-2</v>
      </c>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row>
    <row r="57" spans="2:55">
      <c r="B57" s="369" t="s">
        <v>173</v>
      </c>
      <c r="C57" s="370" t="s">
        <v>163</v>
      </c>
      <c r="D57" s="282">
        <f>(D84+D85)/D$91</f>
        <v>-5.7048833401035564E-3</v>
      </c>
      <c r="E57" s="283">
        <f t="shared" ref="E57:H57" si="32">(E84+E85)/E$91</f>
        <v>8.187746557359675E-3</v>
      </c>
      <c r="F57" s="283">
        <f t="shared" si="32"/>
        <v>1.1495256011112648E-2</v>
      </c>
      <c r="G57" s="283">
        <f t="shared" si="32"/>
        <v>4.790324828036454E-3</v>
      </c>
      <c r="H57" s="283">
        <f t="shared" si="32"/>
        <v>-6.2468213595136286E-3</v>
      </c>
      <c r="I57" s="194"/>
      <c r="J57" s="284">
        <f>(AVERAGE(D84:INDEX(D84:H84,0,MATCH(Data!$B$3,$D$7:$H$7,0)))+AVERAGE(D85:INDEX(D85:H85,0,MATCH(Data!$B$3,$D$7:$H$7,0))))/AVERAGE($D$91:INDEX($D$91:$H$91,0,MATCH(Data!$B$3,$D$7:$H$7,0)))</f>
        <v>5.0739164785629318E-3</v>
      </c>
      <c r="K57" s="285">
        <f>(AVERAGE(D84:H84)+AVERAGE(D85:H85))/AVERAGE($D$91:$H$91)</f>
        <v>2.9203464421987142E-3</v>
      </c>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row>
    <row r="58" spans="2:55">
      <c r="B58" s="369" t="s">
        <v>174</v>
      </c>
      <c r="C58" s="370" t="s">
        <v>163</v>
      </c>
      <c r="D58" s="282">
        <f>(D86+D87)/D$91</f>
        <v>7.1654568567775107E-3</v>
      </c>
      <c r="E58" s="283">
        <f t="shared" ref="E58:H58" si="33">(E86+E87)/E$91</f>
        <v>1.4610201089775862E-2</v>
      </c>
      <c r="F58" s="283">
        <f t="shared" si="33"/>
        <v>3.8491381719029964E-3</v>
      </c>
      <c r="G58" s="283">
        <f t="shared" si="33"/>
        <v>2.3876824415363768E-3</v>
      </c>
      <c r="H58" s="283">
        <f t="shared" si="33"/>
        <v>-1.0058073900316292E-3</v>
      </c>
      <c r="I58" s="194"/>
      <c r="J58" s="284">
        <f>(AVERAGE(D86:INDEX(D86:H86,0,MATCH(Data!$B$3,$D$7:$H$7,0)))+AVERAGE(D87:INDEX(D87:H87,0,MATCH(Data!$B$3,$D$7:$H$7,0))))/AVERAGE($D$91:INDEX($D$91:$H$91,0,MATCH(Data!$B$3,$D$7:$H$7,0)))</f>
        <v>8.517532074176392E-3</v>
      </c>
      <c r="K58" s="285">
        <f>(AVERAGE(D86:H86)+AVERAGE(D87:H87))/AVERAGE($D$91:$H$91)</f>
        <v>5.5072449953991708E-3</v>
      </c>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row>
    <row r="59" spans="2:55">
      <c r="B59" s="372" t="str">
        <f>B88</f>
        <v>RoRE - including financing and tax</v>
      </c>
      <c r="C59" s="370" t="s">
        <v>163</v>
      </c>
      <c r="D59" s="151">
        <f>SUM(D56:D58)</f>
        <v>4.0065386149045375E-2</v>
      </c>
      <c r="E59" s="325">
        <f t="shared" ref="E59:H59" si="34">SUM(E56:E58)</f>
        <v>5.9580780640251241E-2</v>
      </c>
      <c r="F59" s="325">
        <f t="shared" si="34"/>
        <v>5.648780582249209E-2</v>
      </c>
      <c r="G59" s="325">
        <f t="shared" si="34"/>
        <v>5.3153702132211475E-2</v>
      </c>
      <c r="H59" s="325">
        <f t="shared" si="34"/>
        <v>4.4500020259438541E-2</v>
      </c>
      <c r="I59" s="287"/>
      <c r="J59" s="151">
        <f>SUM(J56:J58)</f>
        <v>5.2474949552606884E-2</v>
      </c>
      <c r="K59" s="323">
        <f>SUM(K56:K58)</f>
        <v>5.1136605963594831E-2</v>
      </c>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row>
    <row r="60" spans="2:55">
      <c r="B60" s="375"/>
      <c r="C60" s="376"/>
      <c r="D60" s="377"/>
      <c r="E60" s="377"/>
      <c r="F60" s="377"/>
      <c r="G60" s="377"/>
      <c r="H60" s="377"/>
      <c r="I60" s="287"/>
      <c r="J60" s="377"/>
      <c r="K60" s="377"/>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row>
    <row r="61" spans="2:55">
      <c r="B61" s="375"/>
      <c r="C61" s="376"/>
      <c r="D61" s="377"/>
      <c r="E61" s="377"/>
      <c r="F61" s="377"/>
      <c r="G61" s="377"/>
      <c r="H61" s="377"/>
      <c r="I61" s="287"/>
      <c r="J61" s="377"/>
      <c r="K61" s="377"/>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row>
    <row r="62" spans="2:55">
      <c r="B62" s="378" t="s">
        <v>175</v>
      </c>
      <c r="C62" s="379"/>
      <c r="D62" s="380"/>
      <c r="E62" s="380"/>
      <c r="F62" s="380"/>
      <c r="G62" s="380"/>
      <c r="H62" s="380"/>
      <c r="I62" s="381"/>
      <c r="J62" s="380"/>
      <c r="K62" s="380"/>
      <c r="L62" s="367"/>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row>
    <row r="63" spans="2:55">
      <c r="B63" s="382" t="s">
        <v>176</v>
      </c>
      <c r="C63" s="383"/>
      <c r="D63" s="383"/>
      <c r="E63" s="383"/>
      <c r="F63" s="383"/>
      <c r="G63" s="383"/>
      <c r="H63" s="383"/>
      <c r="I63" s="383"/>
      <c r="J63" s="383"/>
      <c r="K63" s="383"/>
      <c r="L63" s="383"/>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row>
    <row r="64" spans="2:55">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row>
    <row r="65" spans="2:55">
      <c r="B65" s="308" t="s">
        <v>177</v>
      </c>
      <c r="C65" s="384" t="s">
        <v>178</v>
      </c>
      <c r="D65" s="296">
        <v>104.19889471116016</v>
      </c>
      <c r="E65" s="296">
        <v>103.5302750294789</v>
      </c>
      <c r="F65" s="296">
        <v>118.7847035569807</v>
      </c>
      <c r="G65" s="296">
        <v>125.50878318720359</v>
      </c>
      <c r="H65" s="296">
        <v>125.34830022928773</v>
      </c>
      <c r="J65" s="296">
        <v>326.51387329761974</v>
      </c>
      <c r="K65" s="296">
        <v>577.370956714111</v>
      </c>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row>
    <row r="66" spans="2:55">
      <c r="B66" s="308" t="s">
        <v>108</v>
      </c>
      <c r="C66" s="384" t="s">
        <v>178</v>
      </c>
      <c r="D66" s="296">
        <v>-5.1370514680700072</v>
      </c>
      <c r="E66" s="296">
        <v>0.5570338968494104</v>
      </c>
      <c r="F66" s="296">
        <v>3.0919776177871761</v>
      </c>
      <c r="G66" s="296">
        <v>4.2911409756336525</v>
      </c>
      <c r="H66" s="296">
        <v>6.686488418927004</v>
      </c>
      <c r="J66" s="296">
        <v>-1.4880399534334208</v>
      </c>
      <c r="K66" s="296">
        <v>9.4895894411272366</v>
      </c>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row>
    <row r="67" spans="2:55">
      <c r="B67" s="308" t="s">
        <v>109</v>
      </c>
      <c r="C67" s="384" t="s">
        <v>178</v>
      </c>
      <c r="D67" s="296">
        <v>-4.3390000000000004</v>
      </c>
      <c r="E67" s="296">
        <v>-4.3390000000000004</v>
      </c>
      <c r="F67" s="296">
        <v>-4.3390000000000004</v>
      </c>
      <c r="G67" s="296">
        <v>-4.3390000000000004</v>
      </c>
      <c r="H67" s="296">
        <v>-4.3390000000000004</v>
      </c>
      <c r="J67" s="296">
        <v>-13.017000000000001</v>
      </c>
      <c r="K67" s="296">
        <v>-21.695</v>
      </c>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row>
    <row r="68" spans="2:55">
      <c r="B68" s="308" t="s">
        <v>195</v>
      </c>
      <c r="C68" s="384" t="s">
        <v>178</v>
      </c>
      <c r="D68" s="296">
        <v>3.645</v>
      </c>
      <c r="E68" s="296">
        <v>3.645</v>
      </c>
      <c r="F68" s="296">
        <v>3.645</v>
      </c>
      <c r="G68" s="296">
        <v>3.645</v>
      </c>
      <c r="H68" s="296">
        <v>3.645</v>
      </c>
      <c r="J68" s="296">
        <v>10.935</v>
      </c>
      <c r="K68" s="296">
        <v>18.225000000000001</v>
      </c>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row>
    <row r="69" spans="2:55">
      <c r="B69" s="308" t="s">
        <v>196</v>
      </c>
      <c r="C69" s="384" t="s">
        <v>178</v>
      </c>
      <c r="D69" s="296">
        <v>5.1610806000000009E-2</v>
      </c>
      <c r="E69" s="296">
        <v>0.11575274100000003</v>
      </c>
      <c r="F69" s="296">
        <v>0.11587403100000003</v>
      </c>
      <c r="G69" s="296">
        <v>0.12</v>
      </c>
      <c r="H69" s="296">
        <v>0.12</v>
      </c>
      <c r="J69" s="296">
        <v>0.2832375780000001</v>
      </c>
      <c r="K69" s="296">
        <v>0.52323757800000004</v>
      </c>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row>
    <row r="70" spans="2:55">
      <c r="B70" s="308" t="s">
        <v>172</v>
      </c>
      <c r="C70" s="384" t="s">
        <v>178</v>
      </c>
      <c r="D70" s="296">
        <v>0</v>
      </c>
      <c r="E70" s="296">
        <v>0</v>
      </c>
      <c r="F70" s="296">
        <v>0</v>
      </c>
      <c r="G70" s="296">
        <v>0</v>
      </c>
      <c r="H70" s="296">
        <v>0</v>
      </c>
      <c r="J70" s="296">
        <v>0</v>
      </c>
      <c r="K70" s="296">
        <v>0</v>
      </c>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row>
    <row r="71" spans="2:55">
      <c r="B71" s="308" t="s">
        <v>172</v>
      </c>
      <c r="C71" s="384" t="s">
        <v>178</v>
      </c>
      <c r="D71" s="296">
        <v>0</v>
      </c>
      <c r="E71" s="296">
        <v>0</v>
      </c>
      <c r="F71" s="296">
        <v>0</v>
      </c>
      <c r="G71" s="296">
        <v>0</v>
      </c>
      <c r="H71" s="296">
        <v>0</v>
      </c>
      <c r="J71" s="296">
        <v>0</v>
      </c>
      <c r="K71" s="296">
        <v>0</v>
      </c>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row>
    <row r="72" spans="2:55">
      <c r="B72" s="308" t="s">
        <v>172</v>
      </c>
      <c r="C72" s="384" t="s">
        <v>178</v>
      </c>
      <c r="D72" s="296">
        <v>0</v>
      </c>
      <c r="E72" s="296">
        <v>0</v>
      </c>
      <c r="F72" s="296">
        <v>0</v>
      </c>
      <c r="G72" s="296">
        <v>0</v>
      </c>
      <c r="H72" s="296">
        <v>0</v>
      </c>
      <c r="J72" s="296">
        <v>0</v>
      </c>
      <c r="K72" s="296">
        <v>0</v>
      </c>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2:55">
      <c r="B73" s="308" t="s">
        <v>172</v>
      </c>
      <c r="C73" s="384" t="s">
        <v>178</v>
      </c>
      <c r="D73" s="296">
        <v>0</v>
      </c>
      <c r="E73" s="296">
        <v>0</v>
      </c>
      <c r="F73" s="296">
        <v>0</v>
      </c>
      <c r="G73" s="296">
        <v>0</v>
      </c>
      <c r="H73" s="296">
        <v>0</v>
      </c>
      <c r="J73" s="296">
        <v>0</v>
      </c>
      <c r="K73" s="296">
        <v>0</v>
      </c>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2:55">
      <c r="B74" s="308" t="s">
        <v>118</v>
      </c>
      <c r="C74" s="384" t="s">
        <v>178</v>
      </c>
      <c r="D74" s="296">
        <v>-0.2004586055112374</v>
      </c>
      <c r="E74" s="296">
        <v>-0.4022770358356888</v>
      </c>
      <c r="F74" s="296">
        <v>-0.75800000000000001</v>
      </c>
      <c r="G74" s="296">
        <v>-1.0580000000000001</v>
      </c>
      <c r="H74" s="296">
        <v>-0.36399999999999999</v>
      </c>
      <c r="J74" s="296">
        <v>-1.3607356413469263</v>
      </c>
      <c r="K74" s="296">
        <v>-2.7827356413469264</v>
      </c>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2:55">
      <c r="B75" s="308" t="s">
        <v>119</v>
      </c>
      <c r="C75" s="384" t="s">
        <v>178</v>
      </c>
      <c r="D75" s="296">
        <v>-1.1234337229874469E-2</v>
      </c>
      <c r="E75" s="296">
        <v>0</v>
      </c>
      <c r="F75" s="296">
        <v>0</v>
      </c>
      <c r="G75" s="296">
        <v>0</v>
      </c>
      <c r="H75" s="296">
        <v>0</v>
      </c>
      <c r="J75" s="296">
        <v>-1.1234337229874469E-2</v>
      </c>
      <c r="K75" s="296">
        <v>-1.1234337229874469E-2</v>
      </c>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2:55">
      <c r="B76" s="308" t="s">
        <v>120</v>
      </c>
      <c r="C76" s="384" t="s">
        <v>178</v>
      </c>
      <c r="D76" s="296">
        <v>-1.0800000000000001E-2</v>
      </c>
      <c r="E76" s="296">
        <v>-0.2296</v>
      </c>
      <c r="F76" s="296">
        <v>-0.67010000000000003</v>
      </c>
      <c r="G76" s="296">
        <v>-1.8853999999999997</v>
      </c>
      <c r="H76" s="296">
        <v>-1.7492000000000001</v>
      </c>
      <c r="J76" s="296">
        <v>-0.91050000000000009</v>
      </c>
      <c r="K76" s="296">
        <v>-4.5450999999999997</v>
      </c>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2:55">
      <c r="B77" s="308" t="s">
        <v>172</v>
      </c>
      <c r="C77" s="384" t="s">
        <v>178</v>
      </c>
      <c r="D77" s="296">
        <v>0</v>
      </c>
      <c r="E77" s="296">
        <v>0</v>
      </c>
      <c r="F77" s="296">
        <v>0</v>
      </c>
      <c r="G77" s="296">
        <v>0</v>
      </c>
      <c r="H77" s="296">
        <v>0</v>
      </c>
      <c r="J77" s="296">
        <v>0</v>
      </c>
      <c r="K77" s="296">
        <v>0</v>
      </c>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2:55">
      <c r="B78" s="308" t="s">
        <v>172</v>
      </c>
      <c r="C78" s="384" t="s">
        <v>178</v>
      </c>
      <c r="D78" s="296">
        <v>0</v>
      </c>
      <c r="E78" s="296">
        <v>0</v>
      </c>
      <c r="F78" s="296">
        <v>0</v>
      </c>
      <c r="G78" s="296">
        <v>0</v>
      </c>
      <c r="H78" s="296">
        <v>0</v>
      </c>
      <c r="J78" s="296">
        <v>0</v>
      </c>
      <c r="K78" s="296">
        <v>0</v>
      </c>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row r="79" spans="2:55">
      <c r="B79" s="308" t="s">
        <v>172</v>
      </c>
      <c r="C79" s="384" t="s">
        <v>178</v>
      </c>
      <c r="D79" s="296">
        <v>0</v>
      </c>
      <c r="E79" s="296">
        <v>0</v>
      </c>
      <c r="F79" s="296">
        <v>0</v>
      </c>
      <c r="G79" s="296">
        <v>0</v>
      </c>
      <c r="H79" s="296">
        <v>0</v>
      </c>
      <c r="J79" s="296">
        <v>0</v>
      </c>
      <c r="K79" s="296">
        <v>0</v>
      </c>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row>
    <row r="80" spans="2:55">
      <c r="B80" s="308" t="s">
        <v>172</v>
      </c>
      <c r="C80" s="384" t="s">
        <v>178</v>
      </c>
      <c r="D80" s="296">
        <v>0</v>
      </c>
      <c r="E80" s="296">
        <v>0</v>
      </c>
      <c r="F80" s="296">
        <v>0</v>
      </c>
      <c r="G80" s="296">
        <v>0</v>
      </c>
      <c r="H80" s="296">
        <v>0</v>
      </c>
      <c r="J80" s="296">
        <v>0</v>
      </c>
      <c r="K80" s="296">
        <v>0</v>
      </c>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row>
    <row r="81" spans="2:55">
      <c r="B81" s="308" t="s">
        <v>172</v>
      </c>
      <c r="C81" s="384" t="s">
        <v>178</v>
      </c>
      <c r="D81" s="296">
        <v>0</v>
      </c>
      <c r="E81" s="296">
        <v>0</v>
      </c>
      <c r="F81" s="296">
        <v>0</v>
      </c>
      <c r="G81" s="296">
        <v>0</v>
      </c>
      <c r="H81" s="296">
        <v>0</v>
      </c>
      <c r="J81" s="296">
        <v>0</v>
      </c>
      <c r="K81" s="296">
        <v>0</v>
      </c>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row>
    <row r="82" spans="2:55">
      <c r="B82" s="308" t="s">
        <v>121</v>
      </c>
      <c r="C82" s="384" t="s">
        <v>178</v>
      </c>
      <c r="D82" s="296">
        <v>0</v>
      </c>
      <c r="E82" s="296">
        <v>0</v>
      </c>
      <c r="F82" s="296">
        <v>0</v>
      </c>
      <c r="G82" s="296">
        <v>0</v>
      </c>
      <c r="H82" s="296">
        <v>0</v>
      </c>
      <c r="J82" s="296">
        <v>0</v>
      </c>
      <c r="K82" s="296">
        <v>0</v>
      </c>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row>
    <row r="83" spans="2:55">
      <c r="B83" s="306" t="s">
        <v>122</v>
      </c>
      <c r="C83" s="384" t="s">
        <v>178</v>
      </c>
      <c r="D83" s="313">
        <v>98.196961106349022</v>
      </c>
      <c r="E83" s="313">
        <v>102.8771846314926</v>
      </c>
      <c r="F83" s="313">
        <v>119.87045520576788</v>
      </c>
      <c r="G83" s="313">
        <v>126.28252416283726</v>
      </c>
      <c r="H83" s="313">
        <v>129.34758864821475</v>
      </c>
      <c r="I83" s="177"/>
      <c r="J83" s="313">
        <v>320.94460094360949</v>
      </c>
      <c r="K83" s="313">
        <v>576.57471375466139</v>
      </c>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row>
    <row r="84" spans="2:55">
      <c r="B84" s="308" t="s">
        <v>123</v>
      </c>
      <c r="C84" s="384" t="s">
        <v>178</v>
      </c>
      <c r="D84" s="296">
        <v>-20.80674113149648</v>
      </c>
      <c r="E84" s="296">
        <v>15.280734448458063</v>
      </c>
      <c r="F84" s="296">
        <v>25.810206594681674</v>
      </c>
      <c r="G84" s="296">
        <v>3.0502547251018637</v>
      </c>
      <c r="H84" s="296">
        <v>-22.313165357960607</v>
      </c>
      <c r="J84" s="296">
        <v>20.284199911643256</v>
      </c>
      <c r="K84" s="296">
        <v>1.0212892787845149</v>
      </c>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row>
    <row r="85" spans="2:55">
      <c r="B85" s="308" t="s">
        <v>179</v>
      </c>
      <c r="C85" s="384" t="s">
        <v>178</v>
      </c>
      <c r="D85" s="296">
        <v>6.2955398261271256</v>
      </c>
      <c r="E85" s="296">
        <v>7.6194134127741293</v>
      </c>
      <c r="F85" s="296">
        <v>7.6809774333535614</v>
      </c>
      <c r="G85" s="296">
        <v>10.10744332930954</v>
      </c>
      <c r="H85" s="296">
        <v>6.7002200297130265</v>
      </c>
      <c r="J85" s="296">
        <v>21.595930672254816</v>
      </c>
      <c r="K85" s="296">
        <v>38.403594031277379</v>
      </c>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row>
    <row r="86" spans="2:55">
      <c r="B86" s="308" t="s">
        <v>124</v>
      </c>
      <c r="C86" s="384" t="s">
        <v>178</v>
      </c>
      <c r="D86" s="296">
        <v>19.422535245588772</v>
      </c>
      <c r="E86" s="296">
        <v>42.310673607174984</v>
      </c>
      <c r="F86" s="296">
        <v>13.134626599144241</v>
      </c>
      <c r="G86" s="296">
        <v>9.0851644429059135</v>
      </c>
      <c r="H86" s="296">
        <v>-0.83880202281886618</v>
      </c>
      <c r="J86" s="296">
        <v>74.867835451907993</v>
      </c>
      <c r="K86" s="296">
        <v>83.114197871995032</v>
      </c>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row>
    <row r="87" spans="2:55">
      <c r="B87" s="308" t="s">
        <v>180</v>
      </c>
      <c r="C87" s="384" t="s">
        <v>178</v>
      </c>
      <c r="D87" s="296">
        <v>-1.1961525669641553</v>
      </c>
      <c r="E87" s="296">
        <v>-1.4476885484270881</v>
      </c>
      <c r="F87" s="296">
        <v>-1.9202443583383904</v>
      </c>
      <c r="G87" s="296">
        <v>-2.5268608323273831</v>
      </c>
      <c r="H87" s="296">
        <v>-1.6750550074282557</v>
      </c>
      <c r="J87" s="296">
        <v>-4.5640854737296337</v>
      </c>
      <c r="K87" s="296">
        <v>-8.7660013134852726</v>
      </c>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row>
    <row r="88" spans="2:55">
      <c r="B88" s="306" t="s">
        <v>125</v>
      </c>
      <c r="C88" s="384" t="s">
        <v>178</v>
      </c>
      <c r="D88" s="313">
        <v>101.91214247960428</v>
      </c>
      <c r="E88" s="313">
        <v>166.64031755147266</v>
      </c>
      <c r="F88" s="313">
        <v>164.57602147460901</v>
      </c>
      <c r="G88" s="313">
        <v>145.99852582782722</v>
      </c>
      <c r="H88" s="313">
        <v>111.22078628972005</v>
      </c>
      <c r="I88" s="177"/>
      <c r="J88" s="313">
        <v>433.12848150568595</v>
      </c>
      <c r="K88" s="313">
        <v>690.34779362323297</v>
      </c>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row>
    <row r="89" spans="2:55">
      <c r="C89" s="384"/>
      <c r="D89" s="390"/>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row>
    <row r="90" spans="2:55">
      <c r="B90" s="308" t="s">
        <v>181</v>
      </c>
      <c r="C90" s="384" t="s">
        <v>178</v>
      </c>
      <c r="D90" s="296">
        <v>2306.2097549936034</v>
      </c>
      <c r="E90" s="296">
        <v>2271.9899155226867</v>
      </c>
      <c r="F90" s="296">
        <v>2248.2649328049542</v>
      </c>
      <c r="G90" s="296">
        <v>2246.2237926927342</v>
      </c>
      <c r="H90" s="296">
        <v>2271.8138679613253</v>
      </c>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row>
    <row r="91" spans="2:55">
      <c r="B91" s="308" t="s">
        <v>182</v>
      </c>
      <c r="C91" s="384" t="s">
        <v>178</v>
      </c>
      <c r="D91" s="296">
        <v>2543.6455822610992</v>
      </c>
      <c r="E91" s="296">
        <v>2796.8803993631263</v>
      </c>
      <c r="F91" s="296">
        <v>2913.4787425054974</v>
      </c>
      <c r="G91" s="296">
        <v>2746.7235577435199</v>
      </c>
      <c r="H91" s="296">
        <v>2499.3423742572318</v>
      </c>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row>
    <row r="92" spans="2:55">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row>
    <row r="93" spans="2:55">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row>
    <row r="94" spans="2:55">
      <c r="B94" s="306" t="s">
        <v>197</v>
      </c>
      <c r="D94" s="307" t="s">
        <v>198</v>
      </c>
      <c r="E94" s="307" t="s">
        <v>198</v>
      </c>
      <c r="F94" s="307" t="s">
        <v>198</v>
      </c>
      <c r="G94" s="307" t="s">
        <v>198</v>
      </c>
      <c r="H94" s="307" t="s">
        <v>198</v>
      </c>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row>
    <row r="95" spans="2:55" ht="22.8">
      <c r="D95" s="309">
        <f>D7</f>
        <v>2022</v>
      </c>
      <c r="E95" s="309">
        <f t="shared" ref="E95:H95" si="35">E7</f>
        <v>2023</v>
      </c>
      <c r="F95" s="309">
        <f t="shared" si="35"/>
        <v>2024</v>
      </c>
      <c r="G95" s="309">
        <f t="shared" si="35"/>
        <v>2025</v>
      </c>
      <c r="H95" s="309">
        <f t="shared" si="35"/>
        <v>2026</v>
      </c>
      <c r="J95" s="310" t="str">
        <f>J7</f>
        <v>Cumulative to 2024</v>
      </c>
      <c r="K95" s="310" t="str">
        <f>K7</f>
        <v>RIIO-2 period</v>
      </c>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row>
    <row r="96" spans="2:55">
      <c r="B96" s="308" t="s">
        <v>154</v>
      </c>
      <c r="C96" s="384" t="s">
        <v>178</v>
      </c>
      <c r="D96" s="296">
        <v>292.99848465513321</v>
      </c>
      <c r="E96" s="296">
        <v>345.44949093142174</v>
      </c>
      <c r="F96" s="296">
        <v>403.0805061461291</v>
      </c>
      <c r="G96" s="296">
        <v>506.79054040282796</v>
      </c>
      <c r="H96" s="296">
        <v>604.00547123035471</v>
      </c>
      <c r="I96" s="308"/>
      <c r="J96" s="296">
        <v>1041.528481732684</v>
      </c>
      <c r="K96" s="296">
        <v>2152.3244933658671</v>
      </c>
      <c r="L96" s="308"/>
      <c r="N96" s="462"/>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row>
    <row r="97" spans="2:55" ht="22.8">
      <c r="B97" s="312" t="s">
        <v>199</v>
      </c>
      <c r="C97" s="384" t="s">
        <v>178</v>
      </c>
      <c r="D97" s="296">
        <v>327.81078738905939</v>
      </c>
      <c r="E97" s="296">
        <v>437.99194904810622</v>
      </c>
      <c r="F97" s="296">
        <v>488.83375729425154</v>
      </c>
      <c r="G97" s="296">
        <v>440.38244070241433</v>
      </c>
      <c r="H97" s="296">
        <v>429.13783955031045</v>
      </c>
      <c r="I97" s="308"/>
      <c r="J97" s="296">
        <v>1254.6364937314172</v>
      </c>
      <c r="K97" s="296">
        <v>2124.1567739841421</v>
      </c>
      <c r="L97" s="30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row>
    <row r="98" spans="2:55">
      <c r="B98" s="306" t="s">
        <v>156</v>
      </c>
      <c r="C98" s="384" t="s">
        <v>178</v>
      </c>
      <c r="D98" s="296">
        <v>34.81230273392616</v>
      </c>
      <c r="E98" s="296">
        <v>92.542458116684472</v>
      </c>
      <c r="F98" s="296">
        <v>85.753251148122445</v>
      </c>
      <c r="G98" s="296">
        <v>-66.408099700413658</v>
      </c>
      <c r="H98" s="296">
        <v>-174.86763168004435</v>
      </c>
      <c r="I98" s="308"/>
      <c r="J98" s="296">
        <v>213.10801199873313</v>
      </c>
      <c r="K98" s="296">
        <v>-28.167719381725021</v>
      </c>
      <c r="L98" s="30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row>
    <row r="99" spans="2:55">
      <c r="B99" s="308" t="s">
        <v>157</v>
      </c>
      <c r="C99" s="384" t="s">
        <v>178</v>
      </c>
      <c r="D99" s="296">
        <v>-47.984229575131309</v>
      </c>
      <c r="E99" s="296">
        <v>-91.11416607348086</v>
      </c>
      <c r="F99" s="296">
        <v>-77.825103410206623</v>
      </c>
      <c r="G99" s="296">
        <v>77.411025278961489</v>
      </c>
      <c r="H99" s="296">
        <v>192.01247377985717</v>
      </c>
      <c r="I99" s="308"/>
      <c r="J99" s="296">
        <v>-216.92349905881878</v>
      </c>
      <c r="K99" s="296">
        <v>52.499999999999886</v>
      </c>
      <c r="L99" s="308"/>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row>
    <row r="100" spans="2:55">
      <c r="B100" s="306" t="s">
        <v>158</v>
      </c>
      <c r="C100" s="384" t="s">
        <v>178</v>
      </c>
      <c r="D100" s="303">
        <f>D98+D99</f>
        <v>-13.171926841205149</v>
      </c>
      <c r="E100" s="303">
        <f t="shared" ref="E100:H100" si="36">E98+E99</f>
        <v>1.4282920432036121</v>
      </c>
      <c r="F100" s="303">
        <f t="shared" si="36"/>
        <v>7.9281477379158218</v>
      </c>
      <c r="G100" s="303">
        <f t="shared" si="36"/>
        <v>11.002925578547831</v>
      </c>
      <c r="H100" s="303">
        <f t="shared" si="36"/>
        <v>17.14484209981282</v>
      </c>
      <c r="I100" s="308"/>
      <c r="J100" s="303">
        <f>J98+J99</f>
        <v>-3.8154870600856441</v>
      </c>
      <c r="K100" s="303">
        <f>K98+K99</f>
        <v>24.332280618274865</v>
      </c>
      <c r="L100" s="308"/>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row>
    <row r="101" spans="2:55">
      <c r="B101" s="306" t="s">
        <v>159</v>
      </c>
      <c r="C101" s="314" t="s">
        <v>163</v>
      </c>
      <c r="D101" s="151">
        <f>D100/D97</f>
        <v>-4.0181492946332366E-2</v>
      </c>
      <c r="E101" s="151">
        <f>E100/E97</f>
        <v>3.2610006789114236E-3</v>
      </c>
      <c r="F101" s="151">
        <f t="shared" ref="F101:H101" si="37">F100/F97</f>
        <v>1.6218494773763147E-2</v>
      </c>
      <c r="G101" s="151">
        <f t="shared" si="37"/>
        <v>2.4984932553164602E-2</v>
      </c>
      <c r="H101" s="151">
        <f t="shared" si="37"/>
        <v>3.9951830203970688E-2</v>
      </c>
      <c r="J101" s="151">
        <f>J100/J97</f>
        <v>-3.0411095796663745E-3</v>
      </c>
      <c r="K101" s="151">
        <f>K100/K97</f>
        <v>1.1455030493176074E-2</v>
      </c>
      <c r="M101" s="463"/>
    </row>
    <row r="103" spans="2:55">
      <c r="K103" s="464"/>
    </row>
    <row r="106" spans="2:55">
      <c r="K106" s="465"/>
    </row>
    <row r="107" spans="2:55">
      <c r="K107" s="465"/>
    </row>
    <row r="108" spans="2:55">
      <c r="K108" s="465"/>
    </row>
  </sheetData>
  <phoneticPr fontId="218" type="noConversion"/>
  <conditionalFormatting sqref="D6:G7 D94:G95">
    <cfRule type="expression" dxfId="34" priority="8">
      <formula>AND(D$6="Actuals",E$6="Forecast")</formula>
    </cfRule>
  </conditionalFormatting>
  <conditionalFormatting sqref="H6:H7 H94:H95">
    <cfRule type="expression" dxfId="33" priority="44">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U101"/>
  <sheetViews>
    <sheetView zoomScale="80" zoomScaleNormal="80" workbookViewId="0"/>
  </sheetViews>
  <sheetFormatPr defaultColWidth="9.26953125" defaultRowHeight="11.4"/>
  <cols>
    <col min="1" max="1" width="7.26953125" style="104" customWidth="1"/>
    <col min="2" max="2" width="66.26953125" style="308" bestFit="1" customWidth="1"/>
    <col min="3" max="3" width="8.6328125" style="104" bestFit="1" customWidth="1"/>
    <col min="4" max="6" width="9.08984375" style="104" customWidth="1"/>
    <col min="7" max="7" width="9.6328125" style="104" customWidth="1"/>
    <col min="8" max="8" width="9.90625" style="104" customWidth="1"/>
    <col min="9" max="9" width="3.6328125" style="104" customWidth="1"/>
    <col min="10" max="11" width="13.7265625" style="104" customWidth="1"/>
    <col min="12" max="12" width="5.08984375" style="104" customWidth="1"/>
    <col min="13" max="16384" width="9.26953125" style="104"/>
  </cols>
  <sheetData>
    <row r="1" spans="1:21" s="41" customFormat="1" ht="57" customHeight="1"/>
    <row r="2" spans="1:21" customFormat="1" ht="21">
      <c r="A2" s="419" t="s">
        <v>162</v>
      </c>
      <c r="B2" s="71"/>
      <c r="C2" s="47"/>
      <c r="D2" s="47"/>
      <c r="E2" s="47"/>
      <c r="F2" s="47"/>
      <c r="G2" s="47"/>
      <c r="H2" s="47"/>
      <c r="I2" s="49"/>
      <c r="J2" s="49"/>
      <c r="K2" s="49"/>
      <c r="L2" s="50" t="s">
        <v>30</v>
      </c>
    </row>
    <row r="3" spans="1:21" customFormat="1" ht="21">
      <c r="A3" s="425" t="s">
        <v>126</v>
      </c>
      <c r="B3" s="1"/>
      <c r="C3" s="2"/>
      <c r="D3" s="2"/>
      <c r="E3" s="2"/>
      <c r="F3" s="2"/>
      <c r="G3" s="2"/>
      <c r="H3" s="2"/>
      <c r="I3" s="3"/>
      <c r="J3" s="3"/>
      <c r="K3" s="3"/>
      <c r="L3" s="72"/>
    </row>
    <row r="4" spans="1:21" customFormat="1" ht="21">
      <c r="A4" s="430">
        <f>Data!B3</f>
        <v>2024</v>
      </c>
      <c r="B4" s="4"/>
      <c r="C4" s="5"/>
      <c r="D4" s="5"/>
      <c r="E4" s="5"/>
      <c r="F4" s="5"/>
      <c r="G4" s="5"/>
      <c r="H4" s="5"/>
      <c r="I4" s="6"/>
      <c r="J4" s="6"/>
      <c r="K4" s="6"/>
      <c r="L4" s="7"/>
    </row>
    <row r="5" spans="1:21" customFormat="1" ht="12.75" customHeight="1">
      <c r="B5" s="8"/>
    </row>
    <row r="6" spans="1:21">
      <c r="D6" s="359" t="str">
        <f>SPT!D6</f>
        <v>Actuals</v>
      </c>
      <c r="E6" s="360" t="str">
        <f>SPT!E6</f>
        <v>Actuals</v>
      </c>
      <c r="F6" s="360" t="str">
        <f>SPT!F6</f>
        <v>Actuals</v>
      </c>
      <c r="G6" s="360" t="str">
        <f>SPT!G6</f>
        <v>Forecast</v>
      </c>
      <c r="H6" s="360" t="str">
        <f>SPT!H6</f>
        <v>Forecast</v>
      </c>
      <c r="I6" s="358"/>
      <c r="J6" s="358"/>
    </row>
    <row r="7" spans="1:21" ht="31.5" customHeight="1">
      <c r="C7" s="361"/>
      <c r="D7" s="362">
        <f>SPT!D7</f>
        <v>2022</v>
      </c>
      <c r="E7" s="363">
        <f>SPT!E7</f>
        <v>2023</v>
      </c>
      <c r="F7" s="363">
        <f>SPT!F7</f>
        <v>2024</v>
      </c>
      <c r="G7" s="363">
        <f>SPT!G7</f>
        <v>2025</v>
      </c>
      <c r="H7" s="363">
        <f>SPT!H7</f>
        <v>2026</v>
      </c>
      <c r="I7" s="345"/>
      <c r="J7" s="364" t="str">
        <f>SPT!J7</f>
        <v>Cumulative to 2024</v>
      </c>
      <c r="K7" s="365" t="str">
        <f>SPT!K7</f>
        <v>RIIO-2 period</v>
      </c>
    </row>
    <row r="8" spans="1:21">
      <c r="C8" s="361"/>
      <c r="D8" s="361"/>
      <c r="E8" s="361"/>
      <c r="F8" s="361"/>
      <c r="G8" s="361"/>
      <c r="H8" s="361"/>
      <c r="I8" s="361"/>
      <c r="J8" s="361"/>
      <c r="K8" s="361"/>
      <c r="L8" s="361"/>
    </row>
    <row r="9" spans="1:21">
      <c r="B9" s="366" t="s">
        <v>56</v>
      </c>
      <c r="C9" s="367"/>
      <c r="D9" s="367"/>
      <c r="E9" s="367"/>
      <c r="F9" s="367"/>
      <c r="G9" s="367"/>
      <c r="H9" s="367"/>
      <c r="I9" s="368"/>
      <c r="J9" s="367"/>
      <c r="K9" s="367"/>
      <c r="L9" s="367"/>
    </row>
    <row r="10" spans="1:21">
      <c r="B10" s="147"/>
      <c r="I10" s="345"/>
    </row>
    <row r="11" spans="1:21">
      <c r="B11" s="369" t="s">
        <v>107</v>
      </c>
      <c r="C11" s="370" t="s">
        <v>163</v>
      </c>
      <c r="D11" s="284">
        <f>D65/D$90</f>
        <v>4.2439449777777784E-2</v>
      </c>
      <c r="E11" s="371">
        <f t="shared" ref="D11:H20" si="0">E65/E$90</f>
        <v>4.2616093333333334E-2</v>
      </c>
      <c r="F11" s="371">
        <f t="shared" si="0"/>
        <v>4.909683911111111E-2</v>
      </c>
      <c r="G11" s="371">
        <f t="shared" si="0"/>
        <v>5.2011518222222247E-2</v>
      </c>
      <c r="H11" s="371">
        <f t="shared" si="0"/>
        <v>5.1589268444444447E-2</v>
      </c>
      <c r="I11" s="194"/>
      <c r="J11" s="284">
        <f>AVERAGE(D65:INDEX(D65:H65,0,MATCH(Data!$B$3,$D$7:$H$7,0)))/AVERAGE($D$90:INDEX($D$90:$H$90,0,MATCH(Data!$B$3,$D$7:$H$7,0)))</f>
        <v>4.4813488408593824E-2</v>
      </c>
      <c r="K11" s="285">
        <f t="shared" ref="K11:K20" si="1">AVERAGE(D65:H65)/AVERAGE($D$90:$H$90)</f>
        <v>4.7957968059825835E-2</v>
      </c>
      <c r="M11" s="194"/>
      <c r="N11" s="194"/>
      <c r="O11" s="194"/>
      <c r="P11" s="194"/>
      <c r="Q11" s="194"/>
      <c r="R11" s="278"/>
      <c r="T11" s="194"/>
      <c r="U11" s="278"/>
    </row>
    <row r="12" spans="1:21">
      <c r="B12" s="369" t="s">
        <v>108</v>
      </c>
      <c r="C12" s="370" t="s">
        <v>163</v>
      </c>
      <c r="D12" s="282">
        <f t="shared" si="0"/>
        <v>9.4524346703684804E-3</v>
      </c>
      <c r="E12" s="283">
        <f t="shared" si="0"/>
        <v>1.4454199397804618E-2</v>
      </c>
      <c r="F12" s="283">
        <f t="shared" si="0"/>
        <v>1.0149576877109342E-2</v>
      </c>
      <c r="G12" s="283">
        <f t="shared" si="0"/>
        <v>1.0973400894739581E-2</v>
      </c>
      <c r="H12" s="283">
        <f t="shared" si="0"/>
        <v>3.5863844571157742E-3</v>
      </c>
      <c r="I12" s="194"/>
      <c r="J12" s="284">
        <f>AVERAGE(D66:INDEX(D66:H66,0,MATCH(Data!$B$3,$D$7:$H$7,0)))/AVERAGE($D$90:INDEX($D$90:$H$90,0,MATCH(Data!$B$3,$D$7:$H$7,0)))</f>
        <v>1.1371504320432728E-2</v>
      </c>
      <c r="K12" s="285">
        <f t="shared" si="1"/>
        <v>9.4088281415518477E-3</v>
      </c>
      <c r="M12" s="194"/>
      <c r="N12" s="194"/>
      <c r="O12" s="194"/>
      <c r="P12" s="194"/>
      <c r="Q12" s="194"/>
      <c r="R12" s="278"/>
      <c r="T12" s="194"/>
      <c r="U12" s="278"/>
    </row>
    <row r="13" spans="1:21">
      <c r="B13" s="369" t="s">
        <v>109</v>
      </c>
      <c r="C13" s="370" t="s">
        <v>163</v>
      </c>
      <c r="D13" s="282">
        <f t="shared" si="0"/>
        <v>-8.7905359017191684E-4</v>
      </c>
      <c r="E13" s="283">
        <f t="shared" si="0"/>
        <v>-8.3148880389403014E-4</v>
      </c>
      <c r="F13" s="283">
        <f t="shared" si="0"/>
        <v>-8.0161532150443764E-4</v>
      </c>
      <c r="G13" s="283">
        <f t="shared" si="0"/>
        <v>-7.2995513296665821E-4</v>
      </c>
      <c r="H13" s="283">
        <f t="shared" si="0"/>
        <v>-6.3391236244028919E-4</v>
      </c>
      <c r="I13" s="194"/>
      <c r="J13" s="284">
        <f>AVERAGE(D67:INDEX(D67:H67,0,MATCH(Data!$B$3,$D$7:$H$7,0)))/AVERAGE($D$90:INDEX($D$90:$H$90,0,MATCH(Data!$B$3,$D$7:$H$7,0)))</f>
        <v>-8.3618327054048986E-4</v>
      </c>
      <c r="K13" s="285">
        <f t="shared" si="1"/>
        <v>-7.650895665744159E-4</v>
      </c>
      <c r="M13" s="194"/>
      <c r="N13" s="194"/>
      <c r="O13" s="194"/>
      <c r="P13" s="194"/>
      <c r="Q13" s="194"/>
      <c r="R13" s="278"/>
      <c r="T13" s="194"/>
      <c r="U13" s="278"/>
    </row>
    <row r="14" spans="1:21">
      <c r="B14" s="369" t="s">
        <v>200</v>
      </c>
      <c r="C14" s="370" t="s">
        <v>163</v>
      </c>
      <c r="D14" s="282">
        <f t="shared" si="0"/>
        <v>3.3861980681033492E-4</v>
      </c>
      <c r="E14" s="283">
        <f t="shared" si="0"/>
        <v>3.3667477122908908E-4</v>
      </c>
      <c r="F14" s="283">
        <f t="shared" si="0"/>
        <v>2.2500863271624174E-4</v>
      </c>
      <c r="G14" s="283">
        <f t="shared" si="0"/>
        <v>2.9198544167700034E-4</v>
      </c>
      <c r="H14" s="283">
        <f t="shared" si="0"/>
        <v>2.5356788763083191E-4</v>
      </c>
      <c r="I14" s="194"/>
      <c r="J14" s="284">
        <f>AVERAGE(D68:INDEX(D68:H68,0,MATCH(Data!$B$3,$D$7:$H$7,0)))/AVERAGE($D$90:INDEX($D$90:$H$90,0,MATCH(Data!$B$3,$D$7:$H$7,0)))</f>
        <v>2.9846433002555839E-4</v>
      </c>
      <c r="K14" s="285">
        <f t="shared" si="1"/>
        <v>2.8626878657822877E-4</v>
      </c>
      <c r="M14" s="194"/>
      <c r="N14" s="194"/>
      <c r="O14" s="194"/>
      <c r="P14" s="194"/>
      <c r="Q14" s="194"/>
      <c r="R14" s="278"/>
      <c r="T14" s="194"/>
      <c r="U14" s="278"/>
    </row>
    <row r="15" spans="1:21">
      <c r="B15" s="369" t="s">
        <v>201</v>
      </c>
      <c r="C15" s="370" t="s">
        <v>163</v>
      </c>
      <c r="D15" s="282">
        <f t="shared" si="0"/>
        <v>3.489518189359894E-4</v>
      </c>
      <c r="E15" s="283">
        <f t="shared" si="0"/>
        <v>3.9680858210753043E-4</v>
      </c>
      <c r="F15" s="283">
        <f t="shared" si="0"/>
        <v>1.7927516349209528E-4</v>
      </c>
      <c r="G15" s="283">
        <f t="shared" si="0"/>
        <v>1.7187296140163221E-4</v>
      </c>
      <c r="H15" s="283">
        <f t="shared" si="0"/>
        <v>1.627001528275502E-4</v>
      </c>
      <c r="I15" s="194"/>
      <c r="J15" s="284">
        <f>AVERAGE(D69:INDEX(D69:H69,0,MATCH(Data!$B$3,$D$7:$H$7,0)))/AVERAGE($D$90:INDEX($D$90:$H$90,0,MATCH(Data!$B$3,$D$7:$H$7,0)))</f>
        <v>3.0599627117031347E-4</v>
      </c>
      <c r="K15" s="285">
        <f t="shared" si="1"/>
        <v>2.4329072148237689E-4</v>
      </c>
    </row>
    <row r="16" spans="1:21">
      <c r="B16" s="369" t="s">
        <v>202</v>
      </c>
      <c r="C16" s="370" t="s">
        <v>163</v>
      </c>
      <c r="D16" s="282">
        <f t="shared" si="0"/>
        <v>-3.0234970356735704E-5</v>
      </c>
      <c r="E16" s="283">
        <f t="shared" si="0"/>
        <v>-2.0997440944122452E-5</v>
      </c>
      <c r="F16" s="283">
        <f t="shared" si="0"/>
        <v>-2.3784388754836538E-6</v>
      </c>
      <c r="G16" s="283">
        <f t="shared" si="0"/>
        <v>-1.0367966385713564E-5</v>
      </c>
      <c r="H16" s="283">
        <f t="shared" si="0"/>
        <v>-9.0038164928821672E-6</v>
      </c>
      <c r="I16" s="194"/>
      <c r="J16" s="284">
        <f>AVERAGE(D70:INDEX(D70:H70,0,MATCH(Data!$B$3,$D$7:$H$7,0)))/AVERAGE($D$90:INDEX($D$90:$H$90,0,MATCH(Data!$B$3,$D$7:$H$7,0)))</f>
        <v>-1.745248099043791E-5</v>
      </c>
      <c r="K16" s="285">
        <f t="shared" si="1"/>
        <v>-1.3927985335102821E-5</v>
      </c>
    </row>
    <row r="17" spans="2:11">
      <c r="B17" s="369" t="s">
        <v>203</v>
      </c>
      <c r="C17" s="370" t="s">
        <v>163</v>
      </c>
      <c r="D17" s="282">
        <f t="shared" si="0"/>
        <v>1.1947398757490361E-4</v>
      </c>
      <c r="E17" s="283">
        <f t="shared" si="0"/>
        <v>-8.7398340965637376E-5</v>
      </c>
      <c r="F17" s="283">
        <f t="shared" si="0"/>
        <v>-4.6161584368342643E-5</v>
      </c>
      <c r="G17" s="283">
        <f t="shared" si="0"/>
        <v>-4.7089186452398997E-4</v>
      </c>
      <c r="H17" s="283">
        <f t="shared" si="0"/>
        <v>-3.928467875918397E-4</v>
      </c>
      <c r="I17" s="194"/>
      <c r="J17" s="284">
        <f>AVERAGE(D71:INDEX(D71:H71,0,MATCH(Data!$B$3,$D$7:$H$7,0)))/AVERAGE($D$90:INDEX($D$90:$H$90,0,MATCH(Data!$B$3,$D$7:$H$7,0)))</f>
        <v>-7.4655298798648922E-6</v>
      </c>
      <c r="K17" s="285">
        <f t="shared" si="1"/>
        <v>-1.9763780296122918E-4</v>
      </c>
    </row>
    <row r="18" spans="2:11">
      <c r="B18" s="369" t="s">
        <v>204</v>
      </c>
      <c r="C18" s="370" t="s">
        <v>163</v>
      </c>
      <c r="D18" s="282">
        <f t="shared" si="0"/>
        <v>6.5329402975279767E-4</v>
      </c>
      <c r="E18" s="283">
        <f t="shared" si="0"/>
        <v>9.0246690027252015E-4</v>
      </c>
      <c r="F18" s="283">
        <f t="shared" si="0"/>
        <v>1.679286922837249E-3</v>
      </c>
      <c r="G18" s="283">
        <f t="shared" si="0"/>
        <v>5.5961591397970275E-4</v>
      </c>
      <c r="H18" s="283">
        <f t="shared" si="0"/>
        <v>4.8598527507889811E-4</v>
      </c>
      <c r="I18" s="194"/>
      <c r="J18" s="284">
        <f>AVERAGE(D72:INDEX(D72:H72,0,MATCH(Data!$B$3,$D$7:$H$7,0)))/AVERAGE($D$90:INDEX($D$90:$H$90,0,MATCH(Data!$B$3,$D$7:$H$7,0)))</f>
        <v>1.093566133293189E-3</v>
      </c>
      <c r="K18" s="285">
        <f t="shared" si="1"/>
        <v>8.3497419437532599E-4</v>
      </c>
    </row>
    <row r="19" spans="2:11">
      <c r="B19" s="369" t="s">
        <v>205</v>
      </c>
      <c r="C19" s="370" t="s">
        <v>163</v>
      </c>
      <c r="D19" s="282">
        <f t="shared" si="0"/>
        <v>5.9100257521789686E-5</v>
      </c>
      <c r="E19" s="283">
        <f t="shared" si="0"/>
        <v>1.0885616441714029E-4</v>
      </c>
      <c r="F19" s="283">
        <f t="shared" si="0"/>
        <v>1.0280685170437192E-4</v>
      </c>
      <c r="G19" s="283">
        <f t="shared" si="0"/>
        <v>1.0263145802919174E-4</v>
      </c>
      <c r="H19" s="283">
        <f t="shared" si="0"/>
        <v>8.9214914940364008E-5</v>
      </c>
      <c r="I19" s="194"/>
      <c r="J19" s="284">
        <f>AVERAGE(D73:INDEX(D73:H73,0,MATCH(Data!$B$3,$D$7:$H$7,0)))/AVERAGE($D$90:INDEX($D$90:$H$90,0,MATCH(Data!$B$3,$D$7:$H$7,0)))</f>
        <v>9.0976313970322131E-5</v>
      </c>
      <c r="K19" s="285">
        <f t="shared" si="1"/>
        <v>9.2994362583876021E-5</v>
      </c>
    </row>
    <row r="20" spans="2:11">
      <c r="B20" s="369" t="s">
        <v>118</v>
      </c>
      <c r="C20" s="370" t="s">
        <v>163</v>
      </c>
      <c r="D20" s="282">
        <f t="shared" si="0"/>
        <v>-4.1918105906794179E-5</v>
      </c>
      <c r="E20" s="283">
        <f t="shared" si="0"/>
        <v>-7.9580014191481547E-5</v>
      </c>
      <c r="F20" s="283">
        <f t="shared" si="0"/>
        <v>-1.2950950402880332E-4</v>
      </c>
      <c r="G20" s="283">
        <f t="shared" si="0"/>
        <v>-2.5616489683237049E-4</v>
      </c>
      <c r="H20" s="283">
        <f t="shared" si="0"/>
        <v>-2.1902373731523927E-4</v>
      </c>
      <c r="I20" s="194"/>
      <c r="J20" s="284">
        <f>AVERAGE(D74:INDEX(D74:H74,0,MATCH(Data!$B$3,$D$7:$H$7,0)))/AVERAGE($D$90:INDEX($D$90:$H$90,0,MATCH(Data!$B$3,$D$7:$H$7,0)))</f>
        <v>-8.4999149957782632E-5</v>
      </c>
      <c r="K20" s="285">
        <f t="shared" si="1"/>
        <v>-1.5323175194300475E-4</v>
      </c>
    </row>
    <row r="21" spans="2:11">
      <c r="B21" s="369" t="s">
        <v>119</v>
      </c>
      <c r="C21" s="370" t="s">
        <v>163</v>
      </c>
      <c r="D21" s="282">
        <f t="shared" ref="D21:H21" si="2">D75/D$90</f>
        <v>-1.6196076508927749E-5</v>
      </c>
      <c r="E21" s="283">
        <f t="shared" si="2"/>
        <v>0</v>
      </c>
      <c r="F21" s="283">
        <f t="shared" si="2"/>
        <v>0</v>
      </c>
      <c r="G21" s="283">
        <f t="shared" si="2"/>
        <v>0</v>
      </c>
      <c r="H21" s="283">
        <f t="shared" si="2"/>
        <v>0</v>
      </c>
      <c r="I21" s="194"/>
      <c r="J21" s="284">
        <f>AVERAGE(D75:INDEX(D75:H75,0,MATCH(Data!$B$3,$D$7:$H$7,0)))/AVERAGE($D$90:INDEX($D$90:$H$90,0,MATCH(Data!$B$3,$D$7:$H$7,0)))</f>
        <v>-5.1354048553174149E-6</v>
      </c>
      <c r="K21" s="285">
        <f t="shared" ref="K21:K22" si="3">AVERAGE(D75:H75)/AVERAGE($D$90:$H$90)</f>
        <v>-2.8192704733731216E-6</v>
      </c>
    </row>
    <row r="22" spans="2:11">
      <c r="B22" s="369" t="s">
        <v>120</v>
      </c>
      <c r="C22" s="370" t="s">
        <v>163</v>
      </c>
      <c r="D22" s="282">
        <f t="shared" ref="D22:H22" si="4">D76/D$90</f>
        <v>-1.3660687465158442E-5</v>
      </c>
      <c r="E22" s="283">
        <f t="shared" si="4"/>
        <v>-2.724816202991939E-5</v>
      </c>
      <c r="F22" s="283">
        <f t="shared" si="4"/>
        <v>-5.1884803765380824E-5</v>
      </c>
      <c r="G22" s="283">
        <f t="shared" si="4"/>
        <v>-3.3282957812973307E-5</v>
      </c>
      <c r="H22" s="283">
        <f t="shared" si="4"/>
        <v>-6.6362287153846626E-5</v>
      </c>
      <c r="I22" s="194"/>
      <c r="J22" s="284">
        <f>AVERAGE(D76:INDEX(D76:H76,0,MATCH(Data!$B$3,$D$7:$H$7,0)))/AVERAGE($D$90:INDEX($D$90:$H$90,0,MATCH(Data!$B$3,$D$7:$H$7,0)))</f>
        <v>-3.1506233196585502E-5</v>
      </c>
      <c r="K22" s="285">
        <f t="shared" si="3"/>
        <v>-4.0292464039503505E-5</v>
      </c>
    </row>
    <row r="23" spans="2:11">
      <c r="B23" s="369" t="s">
        <v>172</v>
      </c>
      <c r="C23" s="370" t="s">
        <v>163</v>
      </c>
      <c r="D23" s="460">
        <f t="shared" ref="D23:H23" si="5">D77/D$90</f>
        <v>0</v>
      </c>
      <c r="E23" s="461">
        <f t="shared" si="5"/>
        <v>0</v>
      </c>
      <c r="F23" s="461">
        <f t="shared" si="5"/>
        <v>0</v>
      </c>
      <c r="G23" s="461">
        <f t="shared" si="5"/>
        <v>0</v>
      </c>
      <c r="H23" s="461">
        <f t="shared" si="5"/>
        <v>0</v>
      </c>
      <c r="I23" s="194"/>
      <c r="J23" s="466">
        <f>AVERAGE(D77:INDEX(D77:H77,0,MATCH(Data!$B$3,$D$7:$H$7,0)))/AVERAGE($D$90:INDEX($D$90:$H$90,0,MATCH(Data!$B$3,$D$7:$H$7,0)))</f>
        <v>0</v>
      </c>
      <c r="K23" s="467">
        <f t="shared" ref="K23:K28" si="6">AVERAGE(D77:H77)/AVERAGE($D$90:$H$90)</f>
        <v>0</v>
      </c>
    </row>
    <row r="24" spans="2:11">
      <c r="B24" s="369" t="s">
        <v>172</v>
      </c>
      <c r="C24" s="370" t="s">
        <v>163</v>
      </c>
      <c r="D24" s="460">
        <f t="shared" ref="D24:H24" si="7">D78/D$90</f>
        <v>0</v>
      </c>
      <c r="E24" s="461">
        <f t="shared" si="7"/>
        <v>0</v>
      </c>
      <c r="F24" s="461">
        <f t="shared" si="7"/>
        <v>0</v>
      </c>
      <c r="G24" s="461">
        <f t="shared" si="7"/>
        <v>0</v>
      </c>
      <c r="H24" s="461">
        <f t="shared" si="7"/>
        <v>0</v>
      </c>
      <c r="I24" s="194"/>
      <c r="J24" s="466">
        <f>AVERAGE(D78:INDEX(D78:H78,0,MATCH(Data!$B$3,$D$7:$H$7,0)))/AVERAGE($D$90:INDEX($D$90:$H$90,0,MATCH(Data!$B$3,$D$7:$H$7,0)))</f>
        <v>0</v>
      </c>
      <c r="K24" s="467">
        <f t="shared" si="6"/>
        <v>0</v>
      </c>
    </row>
    <row r="25" spans="2:11">
      <c r="B25" s="369" t="s">
        <v>172</v>
      </c>
      <c r="C25" s="370" t="s">
        <v>163</v>
      </c>
      <c r="D25" s="460">
        <f t="shared" ref="D25:H25" si="8">D79/D$90</f>
        <v>0</v>
      </c>
      <c r="E25" s="461">
        <f t="shared" si="8"/>
        <v>0</v>
      </c>
      <c r="F25" s="461">
        <f t="shared" si="8"/>
        <v>0</v>
      </c>
      <c r="G25" s="461">
        <f t="shared" si="8"/>
        <v>0</v>
      </c>
      <c r="H25" s="461">
        <f t="shared" si="8"/>
        <v>0</v>
      </c>
      <c r="I25" s="194"/>
      <c r="J25" s="466">
        <f>AVERAGE(D79:INDEX(D79:H79,0,MATCH(Data!$B$3,$D$7:$H$7,0)))/AVERAGE($D$90:INDEX($D$90:$H$90,0,MATCH(Data!$B$3,$D$7:$H$7,0)))</f>
        <v>0</v>
      </c>
      <c r="K25" s="467">
        <f t="shared" si="6"/>
        <v>0</v>
      </c>
    </row>
    <row r="26" spans="2:11">
      <c r="B26" s="369" t="s">
        <v>172</v>
      </c>
      <c r="C26" s="370" t="s">
        <v>163</v>
      </c>
      <c r="D26" s="460">
        <f t="shared" ref="D26:H26" si="9">D80/D$90</f>
        <v>0</v>
      </c>
      <c r="E26" s="461">
        <f t="shared" si="9"/>
        <v>0</v>
      </c>
      <c r="F26" s="461">
        <f t="shared" si="9"/>
        <v>0</v>
      </c>
      <c r="G26" s="461">
        <f t="shared" si="9"/>
        <v>0</v>
      </c>
      <c r="H26" s="461">
        <f t="shared" si="9"/>
        <v>0</v>
      </c>
      <c r="I26" s="194"/>
      <c r="J26" s="466">
        <f>AVERAGE(D80:INDEX(D80:H80,0,MATCH(Data!$B$3,$D$7:$H$7,0)))/AVERAGE($D$90:INDEX($D$90:$H$90,0,MATCH(Data!$B$3,$D$7:$H$7,0)))</f>
        <v>0</v>
      </c>
      <c r="K26" s="467">
        <f t="shared" si="6"/>
        <v>0</v>
      </c>
    </row>
    <row r="27" spans="2:11">
      <c r="B27" s="369" t="s">
        <v>172</v>
      </c>
      <c r="C27" s="370" t="s">
        <v>163</v>
      </c>
      <c r="D27" s="460">
        <f t="shared" ref="D27:H27" si="10">D81/D$90</f>
        <v>0</v>
      </c>
      <c r="E27" s="461">
        <f t="shared" si="10"/>
        <v>0</v>
      </c>
      <c r="F27" s="461">
        <f t="shared" si="10"/>
        <v>0</v>
      </c>
      <c r="G27" s="461">
        <f t="shared" si="10"/>
        <v>0</v>
      </c>
      <c r="H27" s="461">
        <f t="shared" si="10"/>
        <v>0</v>
      </c>
      <c r="I27" s="194"/>
      <c r="J27" s="466">
        <f>AVERAGE(D81:INDEX(D81:H81,0,MATCH(Data!$B$3,$D$7:$H$7,0)))/AVERAGE($D$90:INDEX($D$90:$H$90,0,MATCH(Data!$B$3,$D$7:$H$7,0)))</f>
        <v>0</v>
      </c>
      <c r="K27" s="467">
        <f t="shared" si="6"/>
        <v>0</v>
      </c>
    </row>
    <row r="28" spans="2:11">
      <c r="B28" s="369" t="s">
        <v>121</v>
      </c>
      <c r="C28" s="370" t="s">
        <v>163</v>
      </c>
      <c r="D28" s="460">
        <f t="shared" ref="D28:H28" si="11">D82/D$90</f>
        <v>0</v>
      </c>
      <c r="E28" s="461">
        <f t="shared" si="11"/>
        <v>0</v>
      </c>
      <c r="F28" s="461">
        <f t="shared" si="11"/>
        <v>0</v>
      </c>
      <c r="G28" s="461">
        <f t="shared" si="11"/>
        <v>0</v>
      </c>
      <c r="H28" s="461">
        <f t="shared" si="11"/>
        <v>0</v>
      </c>
      <c r="I28" s="194"/>
      <c r="J28" s="466">
        <f>AVERAGE(D82:INDEX(D82:H82,0,MATCH(Data!$B$3,$D$7:$H$7,0)))/AVERAGE($D$90:INDEX($D$90:$H$90,0,MATCH(Data!$B$3,$D$7:$H$7,0)))</f>
        <v>0</v>
      </c>
      <c r="K28" s="467">
        <f t="shared" si="6"/>
        <v>0</v>
      </c>
    </row>
    <row r="29" spans="2:11">
      <c r="B29" s="372" t="s">
        <v>122</v>
      </c>
      <c r="C29" s="370" t="s">
        <v>163</v>
      </c>
      <c r="D29" s="324">
        <f>SUM(D11:D28)</f>
        <v>5.2430260918332541E-2</v>
      </c>
      <c r="E29" s="373">
        <f t="shared" ref="E29:H29" si="12">SUM(E11:E28)</f>
        <v>5.7768386387139027E-2</v>
      </c>
      <c r="F29" s="373">
        <f t="shared" si="12"/>
        <v>6.0401243906427954E-2</v>
      </c>
      <c r="G29" s="373">
        <f t="shared" si="12"/>
        <v>6.2610362073527631E-2</v>
      </c>
      <c r="H29" s="373">
        <f t="shared" si="12"/>
        <v>5.4845972141043767E-2</v>
      </c>
      <c r="I29" s="287"/>
      <c r="J29" s="151">
        <f t="shared" ref="J29:K29" si="13">SUM(J11:J28)</f>
        <v>5.6991253708065445E-2</v>
      </c>
      <c r="K29" s="323">
        <f t="shared" si="13"/>
        <v>5.7651325425070857E-2</v>
      </c>
    </row>
    <row r="30" spans="2:11">
      <c r="B30" s="369" t="s">
        <v>123</v>
      </c>
      <c r="C30" s="370" t="s">
        <v>163</v>
      </c>
      <c r="D30" s="282">
        <f>(D84)/D$90</f>
        <v>3.5778890851074607E-2</v>
      </c>
      <c r="E30" s="283">
        <f t="shared" ref="E30:H30" si="14">(E84)/E$90</f>
        <v>6.7072822911032906E-2</v>
      </c>
      <c r="F30" s="283">
        <f t="shared" si="14"/>
        <v>4.3202805460872309E-2</v>
      </c>
      <c r="G30" s="283">
        <f t="shared" si="14"/>
        <v>3.9035105596349905E-3</v>
      </c>
      <c r="H30" s="283">
        <f t="shared" si="14"/>
        <v>-4.5203407866292525E-3</v>
      </c>
      <c r="I30" s="194"/>
      <c r="J30" s="284">
        <f>AVERAGE(D84:INDEX(D84:H84,0,MATCH(Data!$B$3,$D$7:$H$7,0)))/AVERAGE($D$90:INDEX($D$90:$H$90,0,MATCH(Data!$B$3,$D$7:$H$7,0)))</f>
        <v>4.8850446914849806E-2</v>
      </c>
      <c r="K30" s="285">
        <f>AVERAGE(D84:H84)/AVERAGE($D$90:$H$90)</f>
        <v>2.6545389679340389E-2</v>
      </c>
    </row>
    <row r="31" spans="2:11">
      <c r="B31" s="369" t="s">
        <v>124</v>
      </c>
      <c r="C31" s="370" t="s">
        <v>163</v>
      </c>
      <c r="D31" s="282">
        <f>(D86)/D$90</f>
        <v>-2.8741893928320768E-3</v>
      </c>
      <c r="E31" s="283">
        <f t="shared" ref="E31:H31" si="15">(E86)/E$90</f>
        <v>1.0052106114363944E-3</v>
      </c>
      <c r="F31" s="283">
        <f t="shared" si="15"/>
        <v>9.9305137701594971E-4</v>
      </c>
      <c r="G31" s="283">
        <f t="shared" si="15"/>
        <v>1.615983139889885E-4</v>
      </c>
      <c r="H31" s="283">
        <f t="shared" si="15"/>
        <v>-5.6101997275655223E-4</v>
      </c>
      <c r="I31" s="194"/>
      <c r="J31" s="284">
        <f>AVERAGE(D86:INDEX(D86:H86,0,MATCH(Data!$B$3,$D$7:$H$7,0)))/AVERAGE($D$90:INDEX($D$90:$H$90,0,MATCH(Data!$B$3,$D$7:$H$7,0)))</f>
        <v>-2.2908612246922582E-4</v>
      </c>
      <c r="K31" s="285">
        <f>AVERAGE(D86:H86)/AVERAGE($D$90:$H$90)</f>
        <v>-2.2731268996737918E-4</v>
      </c>
    </row>
    <row r="32" spans="2:11">
      <c r="B32" s="372" t="s">
        <v>125</v>
      </c>
      <c r="C32" s="370" t="s">
        <v>163</v>
      </c>
      <c r="D32" s="151">
        <f>SUM(D29:D31)</f>
        <v>8.5334962376575077E-2</v>
      </c>
      <c r="E32" s="325">
        <f t="shared" ref="E32:H32" si="16">SUM(E29:E31)</f>
        <v>0.12584641990960835</v>
      </c>
      <c r="F32" s="325">
        <f t="shared" si="16"/>
        <v>0.10459710074431622</v>
      </c>
      <c r="G32" s="325">
        <f t="shared" si="16"/>
        <v>6.6675470947151608E-2</v>
      </c>
      <c r="H32" s="325">
        <f t="shared" si="16"/>
        <v>4.9764611381657962E-2</v>
      </c>
      <c r="I32" s="287"/>
      <c r="J32" s="151">
        <f>SUM(J29:J31)</f>
        <v>0.10561261450044603</v>
      </c>
      <c r="K32" s="323">
        <f>SUM(K29:K31)</f>
        <v>8.3969402414443867E-2</v>
      </c>
    </row>
    <row r="36" spans="2:13">
      <c r="B36" s="366" t="s">
        <v>57</v>
      </c>
      <c r="C36" s="367"/>
      <c r="D36" s="367"/>
      <c r="E36" s="367"/>
      <c r="F36" s="367"/>
      <c r="G36" s="367"/>
      <c r="H36" s="367"/>
      <c r="I36" s="368"/>
      <c r="J36" s="367"/>
      <c r="K36" s="367"/>
      <c r="L36" s="367"/>
    </row>
    <row r="37" spans="2:13">
      <c r="B37" s="147"/>
      <c r="I37" s="345"/>
    </row>
    <row r="38" spans="2:13">
      <c r="B38" s="369" t="s">
        <v>107</v>
      </c>
      <c r="C38" s="370" t="s">
        <v>163</v>
      </c>
      <c r="D38" s="282">
        <f t="shared" ref="D38:H47" si="17">D65/D$91</f>
        <v>4.1857191392421562E-2</v>
      </c>
      <c r="E38" s="283">
        <f t="shared" si="17"/>
        <v>3.9661264086581001E-2</v>
      </c>
      <c r="F38" s="283">
        <f t="shared" si="17"/>
        <v>4.4522257380707822E-2</v>
      </c>
      <c r="G38" s="283">
        <f t="shared" si="17"/>
        <v>5.0261543405735382E-2</v>
      </c>
      <c r="H38" s="283">
        <f t="shared" si="17"/>
        <v>5.1478184128493795E-2</v>
      </c>
      <c r="I38" s="194"/>
      <c r="J38" s="284">
        <f>AVERAGE(D65:INDEX(D65:H65,0,MATCH(Data!$B$3,$D$7:$H$7,0)))/AVERAGE($D$91:INDEX($D$91:$H$91,0,MATCH(Data!$B$3,$D$7:$H$7,0)))</f>
        <v>4.2074001727062139E-2</v>
      </c>
      <c r="K38" s="285">
        <f t="shared" ref="K38:K47" si="18">AVERAGE(D65:H65)/AVERAGE($D$91:$H$91)</f>
        <v>4.595591236955985E-2</v>
      </c>
      <c r="M38" s="374"/>
    </row>
    <row r="39" spans="2:13">
      <c r="B39" s="369" t="s">
        <v>108</v>
      </c>
      <c r="C39" s="370" t="s">
        <v>163</v>
      </c>
      <c r="D39" s="282">
        <f t="shared" si="17"/>
        <v>9.3227496867583515E-3</v>
      </c>
      <c r="E39" s="283">
        <f t="shared" si="17"/>
        <v>1.3452003096399006E-2</v>
      </c>
      <c r="F39" s="283">
        <f t="shared" si="17"/>
        <v>9.2038934116570742E-3</v>
      </c>
      <c r="G39" s="283">
        <f t="shared" si="17"/>
        <v>1.0604190845247044E-2</v>
      </c>
      <c r="H39" s="283">
        <f t="shared" si="17"/>
        <v>3.5786620939932236E-3</v>
      </c>
      <c r="I39" s="194"/>
      <c r="J39" s="284">
        <f>AVERAGE(D66:INDEX(D66:H66,0,MATCH(Data!$B$3,$D$7:$H$7,0)))/AVERAGE($D$91:INDEX($D$91:$H$91,0,MATCH(Data!$B$3,$D$7:$H$7,0)))</f>
        <v>1.067635458446994E-2</v>
      </c>
      <c r="K39" s="285">
        <f t="shared" si="18"/>
        <v>9.0160467398037562E-3</v>
      </c>
    </row>
    <row r="40" spans="2:13">
      <c r="B40" s="369" t="s">
        <v>109</v>
      </c>
      <c r="C40" s="370" t="s">
        <v>163</v>
      </c>
      <c r="D40" s="282">
        <f t="shared" si="17"/>
        <v>-8.669931999751735E-4</v>
      </c>
      <c r="E40" s="283">
        <f t="shared" si="17"/>
        <v>-7.7383670010131901E-4</v>
      </c>
      <c r="F40" s="283">
        <f t="shared" si="17"/>
        <v>-7.2692507930235538E-4</v>
      </c>
      <c r="G40" s="283">
        <f t="shared" si="17"/>
        <v>-7.0539512888450099E-4</v>
      </c>
      <c r="H40" s="283">
        <f t="shared" si="17"/>
        <v>-6.3254739404128638E-4</v>
      </c>
      <c r="I40" s="194"/>
      <c r="J40" s="284">
        <f>AVERAGE(D67:INDEX(D67:H67,0,MATCH(Data!$B$3,$D$7:$H$7,0)))/AVERAGE($D$91:INDEX($D$91:$H$91,0,MATCH(Data!$B$3,$D$7:$H$7,0)))</f>
        <v>-7.8506667564211122E-4</v>
      </c>
      <c r="K40" s="285">
        <f t="shared" si="18"/>
        <v>-7.3315009994787659E-4</v>
      </c>
    </row>
    <row r="41" spans="2:13">
      <c r="B41" s="369" t="s">
        <v>200</v>
      </c>
      <c r="C41" s="370" t="s">
        <v>163</v>
      </c>
      <c r="D41" s="282">
        <f t="shared" si="17"/>
        <v>3.3397402975631049E-4</v>
      </c>
      <c r="E41" s="283">
        <f t="shared" si="17"/>
        <v>3.1333109087598547E-4</v>
      </c>
      <c r="F41" s="283">
        <f t="shared" si="17"/>
        <v>2.0404352785323242E-4</v>
      </c>
      <c r="G41" s="283">
        <f t="shared" si="17"/>
        <v>2.8216132603529946E-4</v>
      </c>
      <c r="H41" s="283">
        <f t="shared" si="17"/>
        <v>2.5302189393497528E-4</v>
      </c>
      <c r="I41" s="194"/>
      <c r="J41" s="284">
        <f>AVERAGE(D68:INDEX(D68:H68,0,MATCH(Data!$B$3,$D$7:$H$7,0)))/AVERAGE($D$91:INDEX($D$91:$H$91,0,MATCH(Data!$B$3,$D$7:$H$7,0)))</f>
        <v>2.8021895154570556E-4</v>
      </c>
      <c r="K41" s="285">
        <f t="shared" si="18"/>
        <v>2.7431819575253892E-4</v>
      </c>
    </row>
    <row r="42" spans="2:13">
      <c r="B42" s="369" t="s">
        <v>201</v>
      </c>
      <c r="C42" s="370" t="s">
        <v>163</v>
      </c>
      <c r="D42" s="282">
        <f t="shared" si="17"/>
        <v>3.4416428932086283E-4</v>
      </c>
      <c r="E42" s="283">
        <f t="shared" si="17"/>
        <v>3.6929546412642838E-4</v>
      </c>
      <c r="F42" s="283">
        <f t="shared" si="17"/>
        <v>1.6257125948373311E-4</v>
      </c>
      <c r="G42" s="283">
        <f t="shared" si="17"/>
        <v>1.6609013935819938E-4</v>
      </c>
      <c r="H42" s="283">
        <f t="shared" si="17"/>
        <v>1.6234981959494432E-4</v>
      </c>
      <c r="I42" s="194"/>
      <c r="J42" s="284">
        <f>AVERAGE(D69:INDEX(D69:H69,0,MATCH(Data!$B$3,$D$7:$H$7,0)))/AVERAGE($D$91:INDEX($D$91:$H$91,0,MATCH(Data!$B$3,$D$7:$H$7,0)))</f>
        <v>2.8729045871879553E-4</v>
      </c>
      <c r="K42" s="285">
        <f t="shared" si="18"/>
        <v>2.3313429507321182E-4</v>
      </c>
    </row>
    <row r="43" spans="2:13">
      <c r="B43" s="369" t="s">
        <v>202</v>
      </c>
      <c r="C43" s="370" t="s">
        <v>163</v>
      </c>
      <c r="D43" s="282">
        <f t="shared" si="17"/>
        <v>-2.9820154304374338E-5</v>
      </c>
      <c r="E43" s="283">
        <f t="shared" si="17"/>
        <v>-1.9541562477662491E-5</v>
      </c>
      <c r="F43" s="283">
        <f t="shared" si="17"/>
        <v>-2.1568286206555356E-6</v>
      </c>
      <c r="G43" s="283">
        <f t="shared" si="17"/>
        <v>-1.0019126730703665E-5</v>
      </c>
      <c r="H43" s="283">
        <f t="shared" si="17"/>
        <v>-8.9844290732459672E-6</v>
      </c>
      <c r="I43" s="194"/>
      <c r="J43" s="284">
        <f>AVERAGE(D70:INDEX(D70:H70,0,MATCH(Data!$B$3,$D$7:$H$7,0)))/AVERAGE($D$91:INDEX($D$91:$H$91,0,MATCH(Data!$B$3,$D$7:$H$7,0)))</f>
        <v>-1.6385595975884549E-5</v>
      </c>
      <c r="K43" s="285">
        <f t="shared" si="18"/>
        <v>-1.334654697517692E-5</v>
      </c>
    </row>
    <row r="44" spans="2:13">
      <c r="B44" s="369" t="s">
        <v>203</v>
      </c>
      <c r="C44" s="370" t="s">
        <v>163</v>
      </c>
      <c r="D44" s="282">
        <f t="shared" si="17"/>
        <v>1.1783483505380144E-4</v>
      </c>
      <c r="E44" s="283">
        <f t="shared" si="17"/>
        <v>-8.1338490007856054E-5</v>
      </c>
      <c r="F44" s="283">
        <f t="shared" si="17"/>
        <v>-4.1860494026864829E-5</v>
      </c>
      <c r="G44" s="283">
        <f t="shared" si="17"/>
        <v>-4.5504827963410596E-4</v>
      </c>
      <c r="H44" s="283">
        <f t="shared" si="17"/>
        <v>-3.9200089235066091E-4</v>
      </c>
      <c r="I44" s="194"/>
      <c r="J44" s="284">
        <f>AVERAGE(D71:INDEX(D71:H71,0,MATCH(Data!$B$3,$D$7:$H$7,0)))/AVERAGE($D$91:INDEX($D$91:$H$91,0,MATCH(Data!$B$3,$D$7:$H$7,0)))</f>
        <v>-7.0091556853367852E-6</v>
      </c>
      <c r="K44" s="285">
        <f t="shared" si="18"/>
        <v>-1.8938720553106705E-4</v>
      </c>
    </row>
    <row r="45" spans="2:13">
      <c r="B45" s="369" t="s">
        <v>204</v>
      </c>
      <c r="C45" s="370" t="s">
        <v>163</v>
      </c>
      <c r="D45" s="282">
        <f t="shared" si="17"/>
        <v>6.4433100292472822E-4</v>
      </c>
      <c r="E45" s="283">
        <f t="shared" si="17"/>
        <v>8.3989345952342688E-4</v>
      </c>
      <c r="F45" s="283">
        <f t="shared" si="17"/>
        <v>1.522819919738919E-3</v>
      </c>
      <c r="G45" s="283">
        <f t="shared" si="17"/>
        <v>5.4078712778304558E-4</v>
      </c>
      <c r="H45" s="283">
        <f t="shared" si="17"/>
        <v>4.8493882988841507E-4</v>
      </c>
      <c r="I45" s="194"/>
      <c r="J45" s="284">
        <f>AVERAGE(D72:INDEX(D72:H72,0,MATCH(Data!$B$3,$D$7:$H$7,0)))/AVERAGE($D$91:INDEX($D$91:$H$91,0,MATCH(Data!$B$3,$D$7:$H$7,0)))</f>
        <v>1.0267155049686087E-3</v>
      </c>
      <c r="K45" s="285">
        <f t="shared" si="18"/>
        <v>8.0011732064395695E-4</v>
      </c>
    </row>
    <row r="46" spans="2:13">
      <c r="B46" s="369" t="s">
        <v>205</v>
      </c>
      <c r="C46" s="370" t="s">
        <v>163</v>
      </c>
      <c r="D46" s="282">
        <f t="shared" si="17"/>
        <v>5.8289417119782566E-5</v>
      </c>
      <c r="E46" s="283">
        <f t="shared" si="17"/>
        <v>1.0130851391353445E-4</v>
      </c>
      <c r="F46" s="283">
        <f t="shared" si="17"/>
        <v>9.3227857331582131E-5</v>
      </c>
      <c r="G46" s="283">
        <f t="shared" si="17"/>
        <v>9.9178329317142761E-5</v>
      </c>
      <c r="H46" s="283">
        <f t="shared" si="17"/>
        <v>8.9022813402630084E-5</v>
      </c>
      <c r="I46" s="194"/>
      <c r="J46" s="284">
        <f>AVERAGE(D73:INDEX(D73:H73,0,MATCH(Data!$B$3,$D$7:$H$7,0)))/AVERAGE($D$91:INDEX($D$91:$H$91,0,MATCH(Data!$B$3,$D$7:$H$7,0)))</f>
        <v>8.54148544788368E-5</v>
      </c>
      <c r="K46" s="285">
        <f t="shared" si="18"/>
        <v>8.911221535567288E-5</v>
      </c>
    </row>
    <row r="47" spans="2:13">
      <c r="B47" s="369" t="s">
        <v>118</v>
      </c>
      <c r="C47" s="370" t="s">
        <v>163</v>
      </c>
      <c r="D47" s="282">
        <f t="shared" si="17"/>
        <v>-4.1343000225870355E-5</v>
      </c>
      <c r="E47" s="283">
        <f t="shared" si="17"/>
        <v>-7.4062254702109728E-5</v>
      </c>
      <c r="F47" s="283">
        <f t="shared" si="17"/>
        <v>-1.1744249886574231E-4</v>
      </c>
      <c r="G47" s="283">
        <f t="shared" si="17"/>
        <v>-2.4754599598795959E-4</v>
      </c>
      <c r="H47" s="283">
        <f t="shared" si="17"/>
        <v>-2.1855212562602101E-4</v>
      </c>
      <c r="I47" s="194"/>
      <c r="J47" s="284">
        <f>AVERAGE(D74:INDEX(D74:H74,0,MATCH(Data!$B$3,$D$7:$H$7,0)))/AVERAGE($D$91:INDEX($D$91:$H$91,0,MATCH(Data!$B$3,$D$7:$H$7,0)))</f>
        <v>-7.9803079588795117E-5</v>
      </c>
      <c r="K47" s="285">
        <f t="shared" si="18"/>
        <v>-1.468349316998238E-4</v>
      </c>
    </row>
    <row r="48" spans="2:13">
      <c r="B48" s="369" t="s">
        <v>119</v>
      </c>
      <c r="C48" s="370" t="s">
        <v>163</v>
      </c>
      <c r="D48" s="282">
        <f t="shared" ref="D48:H48" si="19">D75/D$91</f>
        <v>-1.5973870485839011E-5</v>
      </c>
      <c r="E48" s="283">
        <f t="shared" si="19"/>
        <v>0</v>
      </c>
      <c r="F48" s="283">
        <f t="shared" si="19"/>
        <v>0</v>
      </c>
      <c r="G48" s="283">
        <f t="shared" si="19"/>
        <v>0</v>
      </c>
      <c r="H48" s="283">
        <f t="shared" si="19"/>
        <v>0</v>
      </c>
      <c r="I48" s="194"/>
      <c r="J48" s="284">
        <f>AVERAGE(D75:INDEX(D75:H75,0,MATCH(Data!$B$3,$D$7:$H$7,0)))/AVERAGE($D$91:INDEX($D$91:$H$91,0,MATCH(Data!$B$3,$D$7:$H$7,0)))</f>
        <v>-4.821473186415752E-6</v>
      </c>
      <c r="K48" s="285">
        <f t="shared" ref="K48:K49" si="20">AVERAGE(D75:H75)/AVERAGE($D$91:$H$91)</f>
        <v>-2.7015770697123486E-6</v>
      </c>
    </row>
    <row r="49" spans="2:12">
      <c r="B49" s="369" t="s">
        <v>120</v>
      </c>
      <c r="C49" s="370" t="s">
        <v>163</v>
      </c>
      <c r="D49" s="282">
        <f t="shared" ref="D49:H49" si="21">D76/D$91</f>
        <v>-1.3473266330625163E-5</v>
      </c>
      <c r="E49" s="283">
        <f t="shared" si="21"/>
        <v>-2.5358883595678765E-5</v>
      </c>
      <c r="F49" s="283">
        <f t="shared" si="21"/>
        <v>-4.7050454351286763E-5</v>
      </c>
      <c r="G49" s="283">
        <f t="shared" si="21"/>
        <v>-3.2163122438392511E-5</v>
      </c>
      <c r="H49" s="283">
        <f t="shared" si="21"/>
        <v>-6.6219392914488594E-5</v>
      </c>
      <c r="I49" s="194"/>
      <c r="J49" s="284">
        <f>AVERAGE(D76:INDEX(D76:H76,0,MATCH(Data!$B$3,$D$7:$H$7,0)))/AVERAGE($D$91:INDEX($D$91:$H$91,0,MATCH(Data!$B$3,$D$7:$H$7,0)))</f>
        <v>-2.9580230350292343E-5</v>
      </c>
      <c r="K49" s="285">
        <f t="shared" si="20"/>
        <v>-3.8610412856590676E-5</v>
      </c>
    </row>
    <row r="50" spans="2:12">
      <c r="B50" s="369" t="s">
        <v>172</v>
      </c>
      <c r="C50" s="370" t="s">
        <v>163</v>
      </c>
      <c r="D50" s="460">
        <f t="shared" ref="D50:H50" si="22">D77/D$91</f>
        <v>0</v>
      </c>
      <c r="E50" s="461">
        <f t="shared" si="22"/>
        <v>0</v>
      </c>
      <c r="F50" s="461">
        <f t="shared" si="22"/>
        <v>0</v>
      </c>
      <c r="G50" s="461">
        <f t="shared" si="22"/>
        <v>0</v>
      </c>
      <c r="H50" s="461">
        <f t="shared" si="22"/>
        <v>0</v>
      </c>
      <c r="I50" s="194"/>
      <c r="J50" s="466">
        <f>AVERAGE(D77:INDEX(D77:H77,0,MATCH(Data!$B$3,$D$7:$H$7,0)))/AVERAGE($D$91:INDEX($D$91:$H$91,0,MATCH(Data!$B$3,$D$7:$H$7,0)))</f>
        <v>0</v>
      </c>
      <c r="K50" s="467">
        <f t="shared" ref="K50:K55" si="23">AVERAGE(D77:H77)/AVERAGE($D$91:$H$91)</f>
        <v>0</v>
      </c>
    </row>
    <row r="51" spans="2:12">
      <c r="B51" s="369" t="s">
        <v>172</v>
      </c>
      <c r="C51" s="370" t="s">
        <v>163</v>
      </c>
      <c r="D51" s="460">
        <f t="shared" ref="D51:H51" si="24">D78/D$91</f>
        <v>0</v>
      </c>
      <c r="E51" s="461">
        <f t="shared" si="24"/>
        <v>0</v>
      </c>
      <c r="F51" s="461">
        <f t="shared" si="24"/>
        <v>0</v>
      </c>
      <c r="G51" s="461">
        <f t="shared" si="24"/>
        <v>0</v>
      </c>
      <c r="H51" s="461">
        <f t="shared" si="24"/>
        <v>0</v>
      </c>
      <c r="I51" s="194"/>
      <c r="J51" s="466">
        <f>AVERAGE(D78:INDEX(D78:H78,0,MATCH(Data!$B$3,$D$7:$H$7,0)))/AVERAGE($D$91:INDEX($D$91:$H$91,0,MATCH(Data!$B$3,$D$7:$H$7,0)))</f>
        <v>0</v>
      </c>
      <c r="K51" s="467">
        <f t="shared" si="23"/>
        <v>0</v>
      </c>
    </row>
    <row r="52" spans="2:12">
      <c r="B52" s="369" t="s">
        <v>172</v>
      </c>
      <c r="C52" s="370" t="s">
        <v>163</v>
      </c>
      <c r="D52" s="460">
        <f t="shared" ref="D52:H52" si="25">D79/D$91</f>
        <v>0</v>
      </c>
      <c r="E52" s="461">
        <f t="shared" si="25"/>
        <v>0</v>
      </c>
      <c r="F52" s="461">
        <f t="shared" si="25"/>
        <v>0</v>
      </c>
      <c r="G52" s="461">
        <f t="shared" si="25"/>
        <v>0</v>
      </c>
      <c r="H52" s="461">
        <f t="shared" si="25"/>
        <v>0</v>
      </c>
      <c r="I52" s="194"/>
      <c r="J52" s="466">
        <f>AVERAGE(D79:INDEX(D79:H79,0,MATCH(Data!$B$3,$D$7:$H$7,0)))/AVERAGE($D$91:INDEX($D$91:$H$91,0,MATCH(Data!$B$3,$D$7:$H$7,0)))</f>
        <v>0</v>
      </c>
      <c r="K52" s="467">
        <f t="shared" si="23"/>
        <v>0</v>
      </c>
    </row>
    <row r="53" spans="2:12">
      <c r="B53" s="369" t="s">
        <v>172</v>
      </c>
      <c r="C53" s="370" t="s">
        <v>163</v>
      </c>
      <c r="D53" s="460">
        <f t="shared" ref="D53:H53" si="26">D80/D$91</f>
        <v>0</v>
      </c>
      <c r="E53" s="461">
        <f t="shared" si="26"/>
        <v>0</v>
      </c>
      <c r="F53" s="461">
        <f t="shared" si="26"/>
        <v>0</v>
      </c>
      <c r="G53" s="461">
        <f t="shared" si="26"/>
        <v>0</v>
      </c>
      <c r="H53" s="461">
        <f t="shared" si="26"/>
        <v>0</v>
      </c>
      <c r="I53" s="194"/>
      <c r="J53" s="466">
        <f>AVERAGE(D80:INDEX(D80:H80,0,MATCH(Data!$B$3,$D$7:$H$7,0)))/AVERAGE($D$91:INDEX($D$91:$H$91,0,MATCH(Data!$B$3,$D$7:$H$7,0)))</f>
        <v>0</v>
      </c>
      <c r="K53" s="467">
        <f t="shared" si="23"/>
        <v>0</v>
      </c>
    </row>
    <row r="54" spans="2:12">
      <c r="B54" s="369" t="s">
        <v>172</v>
      </c>
      <c r="C54" s="370" t="s">
        <v>163</v>
      </c>
      <c r="D54" s="460">
        <f t="shared" ref="D54:H54" si="27">D81/D$91</f>
        <v>0</v>
      </c>
      <c r="E54" s="461">
        <f t="shared" si="27"/>
        <v>0</v>
      </c>
      <c r="F54" s="461">
        <f t="shared" si="27"/>
        <v>0</v>
      </c>
      <c r="G54" s="461">
        <f t="shared" si="27"/>
        <v>0</v>
      </c>
      <c r="H54" s="461">
        <f t="shared" si="27"/>
        <v>0</v>
      </c>
      <c r="I54" s="194"/>
      <c r="J54" s="466">
        <f>AVERAGE(D81:INDEX(D81:H81,0,MATCH(Data!$B$3,$D$7:$H$7,0)))/AVERAGE($D$91:INDEX($D$91:$H$91,0,MATCH(Data!$B$3,$D$7:$H$7,0)))</f>
        <v>0</v>
      </c>
      <c r="K54" s="467">
        <f t="shared" si="23"/>
        <v>0</v>
      </c>
    </row>
    <row r="55" spans="2:12">
      <c r="B55" s="369" t="s">
        <v>121</v>
      </c>
      <c r="C55" s="370" t="s">
        <v>163</v>
      </c>
      <c r="D55" s="460">
        <f t="shared" ref="D55:H55" si="28">D82/D$91</f>
        <v>0</v>
      </c>
      <c r="E55" s="461">
        <f t="shared" si="28"/>
        <v>0</v>
      </c>
      <c r="F55" s="461">
        <f t="shared" si="28"/>
        <v>0</v>
      </c>
      <c r="G55" s="461">
        <f t="shared" si="28"/>
        <v>0</v>
      </c>
      <c r="H55" s="461">
        <f t="shared" si="28"/>
        <v>0</v>
      </c>
      <c r="I55" s="194"/>
      <c r="J55" s="466">
        <f>AVERAGE(D82:INDEX(D82:H82,0,MATCH(Data!$B$3,$D$7:$H$7,0)))/AVERAGE($D$91:INDEX($D$91:$H$91,0,MATCH(Data!$B$3,$D$7:$H$7,0)))</f>
        <v>0</v>
      </c>
      <c r="K55" s="467">
        <f t="shared" si="23"/>
        <v>0</v>
      </c>
    </row>
    <row r="56" spans="2:12">
      <c r="B56" s="372" t="s">
        <v>122</v>
      </c>
      <c r="C56" s="370" t="s">
        <v>163</v>
      </c>
      <c r="D56" s="324">
        <f>SUM(D38:D55)</f>
        <v>5.1710931162033513E-2</v>
      </c>
      <c r="E56" s="373">
        <f t="shared" ref="E56:H56" si="29">SUM(E38:E55)</f>
        <v>5.3762957820534765E-2</v>
      </c>
      <c r="F56" s="373">
        <f t="shared" si="29"/>
        <v>5.4773378001605463E-2</v>
      </c>
      <c r="G56" s="373">
        <f t="shared" si="29"/>
        <v>6.0503779519800453E-2</v>
      </c>
      <c r="H56" s="373">
        <f t="shared" si="29"/>
        <v>5.4727875345302282E-2</v>
      </c>
      <c r="I56" s="287"/>
      <c r="J56" s="151">
        <f t="shared" ref="J56:K56" si="30">SUM(J38:J55)</f>
        <v>5.3507329870815169E-2</v>
      </c>
      <c r="K56" s="323">
        <f t="shared" si="30"/>
        <v>5.5244610362108731E-2</v>
      </c>
    </row>
    <row r="57" spans="2:12">
      <c r="B57" s="369" t="s">
        <v>173</v>
      </c>
      <c r="C57" s="370" t="s">
        <v>163</v>
      </c>
      <c r="D57" s="282">
        <f>(D84+D85)/D$91</f>
        <v>3.532755748055702E-2</v>
      </c>
      <c r="E57" s="283">
        <f t="shared" ref="E57:H57" si="31">(E84+E85)/E$91</f>
        <v>6.0180874532491636E-2</v>
      </c>
      <c r="F57" s="283">
        <f t="shared" si="31"/>
        <v>3.7566302024261491E-2</v>
      </c>
      <c r="G57" s="283">
        <f t="shared" si="31"/>
        <v>4.3139657219159614E-3</v>
      </c>
      <c r="H57" s="283">
        <f t="shared" si="31"/>
        <v>-4.4535281352819141E-3</v>
      </c>
      <c r="I57" s="194"/>
      <c r="J57" s="284">
        <f>(AVERAGE(D84:INDEX(D84:H84,0,MATCH(Data!$B$3,$D$7:$H$7,0)))+AVERAGE(D85:INDEX(D85:H85,0,MATCH(Data!$B$3,$D$7:$H$7,0))))/AVERAGE($D$91:INDEX($D$91:$H$91,0,MATCH(Data!$B$3,$D$7:$H$7,0)))</f>
        <v>4.4538156186693115E-2</v>
      </c>
      <c r="K57" s="285">
        <f>(AVERAGE(D84:H84)+AVERAGE(D85:H85))/AVERAGE($D$91:$H$91)</f>
        <v>2.4820079210678723E-2</v>
      </c>
    </row>
    <row r="58" spans="2:12">
      <c r="B58" s="369" t="s">
        <v>174</v>
      </c>
      <c r="C58" s="370" t="s">
        <v>163</v>
      </c>
      <c r="D58" s="282">
        <f>(D86+D87)/D$91</f>
        <v>-2.8422695820405847E-3</v>
      </c>
      <c r="E58" s="283">
        <f t="shared" ref="E58:H58" si="32">(E86+E87)/E$91</f>
        <v>1.3613769477475893E-3</v>
      </c>
      <c r="F58" s="283">
        <f t="shared" si="32"/>
        <v>1.3032982287967195E-3</v>
      </c>
      <c r="G58" s="283">
        <f t="shared" si="32"/>
        <v>2.0713110821719555E-5</v>
      </c>
      <c r="H58" s="283">
        <f t="shared" si="32"/>
        <v>-5.7408177244540521E-4</v>
      </c>
      <c r="I58" s="194"/>
      <c r="J58" s="284">
        <f>(AVERAGE(D86:INDEX(D86:H86,0,MATCH(Data!$B$3,$D$7:$H$7,0)))+AVERAGE(D87:INDEX(D87:H87,0,MATCH(Data!$B$3,$D$7:$H$7,0))))/AVERAGE($D$91:INDEX($D$91:$H$91,0,MATCH(Data!$B$3,$D$7:$H$7,0)))</f>
        <v>7.1661292184695537E-5</v>
      </c>
      <c r="K58" s="285">
        <f>(AVERAGE(D86:H86)+AVERAGE(D87:H87))/AVERAGE($D$91:$H$91)</f>
        <v>-8.86181645360753E-5</v>
      </c>
    </row>
    <row r="59" spans="2:12">
      <c r="B59" s="372" t="s">
        <v>125</v>
      </c>
      <c r="C59" s="370" t="s">
        <v>163</v>
      </c>
      <c r="D59" s="151">
        <f>SUM(D56:D58)</f>
        <v>8.4196219060549943E-2</v>
      </c>
      <c r="E59" s="325">
        <f t="shared" ref="E59:H59" si="33">SUM(E56:E58)</f>
        <v>0.11530520930077399</v>
      </c>
      <c r="F59" s="325">
        <f t="shared" si="33"/>
        <v>9.3642978254663681E-2</v>
      </c>
      <c r="G59" s="325">
        <f t="shared" si="33"/>
        <v>6.4838458352538139E-2</v>
      </c>
      <c r="H59" s="325">
        <f t="shared" si="33"/>
        <v>4.9700265437574963E-2</v>
      </c>
      <c r="I59" s="287"/>
      <c r="J59" s="151">
        <f>SUM(J56:J58)</f>
        <v>9.8117147349692985E-2</v>
      </c>
      <c r="K59" s="323">
        <f>SUM(K56:K58)</f>
        <v>7.9976071408251373E-2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
        <v>175</v>
      </c>
      <c r="C62" s="379"/>
      <c r="D62" s="380"/>
      <c r="E62" s="380"/>
      <c r="F62" s="380"/>
      <c r="G62" s="380"/>
      <c r="H62" s="380"/>
      <c r="I62" s="381"/>
      <c r="J62" s="380"/>
      <c r="K62" s="380"/>
      <c r="L62" s="367"/>
    </row>
    <row r="63" spans="2:12">
      <c r="B63" s="382" t="s">
        <v>176</v>
      </c>
      <c r="C63" s="383"/>
      <c r="D63" s="383"/>
      <c r="E63" s="383"/>
      <c r="F63" s="383"/>
      <c r="G63" s="383"/>
      <c r="H63" s="383"/>
      <c r="I63" s="383"/>
      <c r="J63" s="383"/>
      <c r="K63" s="383"/>
      <c r="L63" s="383"/>
    </row>
    <row r="65" spans="2:11">
      <c r="B65" s="308" t="s">
        <v>177</v>
      </c>
      <c r="C65" s="384" t="s">
        <v>178</v>
      </c>
      <c r="D65" s="296">
        <f>NGET!D65+SHET!D65+SPT!D65</f>
        <v>368.75171323658674</v>
      </c>
      <c r="E65" s="296">
        <f>NGET!E65+SHET!E65+SPT!E65</f>
        <v>391.46855538596509</v>
      </c>
      <c r="F65" s="296">
        <f>NGET!F65+SHET!F65+SPT!F65</f>
        <v>467.80749702597927</v>
      </c>
      <c r="G65" s="296">
        <f>NGET!G65+SHET!G65+SPT!G65</f>
        <v>544.2306769825525</v>
      </c>
      <c r="H65" s="296">
        <f>NGET!H65+SHET!H65+SPT!H65</f>
        <v>621.59827718422639</v>
      </c>
      <c r="J65" s="296">
        <f>NGET!J65+SHET!J65+SPT!J65</f>
        <v>1228.0277656485314</v>
      </c>
      <c r="K65" s="296">
        <f>NGET!K65+SHET!K65+SPT!K65</f>
        <v>2393.85671981531</v>
      </c>
    </row>
    <row r="66" spans="2:11">
      <c r="B66" s="308" t="s">
        <v>108</v>
      </c>
      <c r="C66" s="384" t="s">
        <v>178</v>
      </c>
      <c r="D66" s="296">
        <f>NGET!D66+SHET!D66+SPT!D66</f>
        <v>82.131165630248688</v>
      </c>
      <c r="E66" s="296">
        <f>NGET!E66+SHET!E66+SPT!E66</f>
        <v>132.7752995390926</v>
      </c>
      <c r="F66" s="296">
        <f>NGET!F66+SHET!F66+SPT!F66</f>
        <v>96.707817462708022</v>
      </c>
      <c r="G66" s="296">
        <f>NGET!G66+SHET!G66+SPT!G66</f>
        <v>114.82190103025043</v>
      </c>
      <c r="H66" s="296">
        <f>NGET!H66+SHET!H66+SPT!H66</f>
        <v>43.212289436981166</v>
      </c>
      <c r="J66" s="296">
        <f>NGET!J66+SHET!J66+SPT!J66</f>
        <v>311.61428263204925</v>
      </c>
      <c r="K66" s="296">
        <f>NGET!K66+SHET!K66+SPT!K66</f>
        <v>469.64847309928081</v>
      </c>
    </row>
    <row r="67" spans="2:11">
      <c r="B67" s="308" t="s">
        <v>109</v>
      </c>
      <c r="C67" s="384" t="s">
        <v>178</v>
      </c>
      <c r="D67" s="296">
        <f>NGET!D67+SHET!D67+SPT!D67</f>
        <v>-7.6379999999999999</v>
      </c>
      <c r="E67" s="296">
        <f>NGET!E67+SHET!E67+SPT!E67</f>
        <v>-7.6379999999999999</v>
      </c>
      <c r="F67" s="296">
        <f>NGET!F67+SHET!F67+SPT!F67</f>
        <v>-7.6379999999999999</v>
      </c>
      <c r="G67" s="296">
        <f>NGET!G67+SHET!G67+SPT!G67</f>
        <v>-7.6379999999999999</v>
      </c>
      <c r="H67" s="296">
        <f>NGET!H67+SHET!H67+SPT!H67</f>
        <v>-7.6379999999999999</v>
      </c>
      <c r="J67" s="296">
        <f>NGET!J67+SHET!J67+SPT!J67</f>
        <v>-22.914000000000001</v>
      </c>
      <c r="K67" s="296">
        <f>NGET!K67+SHET!K67+SPT!K67</f>
        <v>-38.19</v>
      </c>
    </row>
    <row r="68" spans="2:11">
      <c r="B68" s="308" t="s">
        <v>200</v>
      </c>
      <c r="C68" s="384" t="s">
        <v>178</v>
      </c>
      <c r="D68" s="296">
        <f>NGET!D68+SHET!D68+SPT!D68</f>
        <v>2.9422302727999998</v>
      </c>
      <c r="E68" s="296">
        <f>NGET!E68+SHET!E68+SPT!E68</f>
        <v>3.092671712</v>
      </c>
      <c r="F68" s="296">
        <f>NGET!F68+SHET!F68+SPT!F68</f>
        <v>2.1439409783999999</v>
      </c>
      <c r="G68" s="296">
        <f>NGET!G68+SHET!G68+SPT!G68</f>
        <v>3.0552354560000001</v>
      </c>
      <c r="H68" s="296">
        <f>NGET!H68+SHET!H68+SPT!H68</f>
        <v>3.0552354560000001</v>
      </c>
      <c r="J68" s="296">
        <f>NGET!J68+SHET!J68+SPT!J68</f>
        <v>8.178842963200001</v>
      </c>
      <c r="K68" s="296">
        <f>NGET!K68+SHET!K68+SPT!K68</f>
        <v>14.289313875200001</v>
      </c>
    </row>
    <row r="69" spans="2:11">
      <c r="B69" s="308" t="s">
        <v>201</v>
      </c>
      <c r="C69" s="384" t="s">
        <v>178</v>
      </c>
      <c r="D69" s="296">
        <f>NGET!D69+SHET!D69+SPT!D69</f>
        <v>3.03200399023663</v>
      </c>
      <c r="E69" s="296">
        <f>NGET!E69+SHET!E69+SPT!E69</f>
        <v>3.6450568377389523</v>
      </c>
      <c r="F69" s="296">
        <f>NGET!F69+SHET!F69+SPT!F69</f>
        <v>1.7081805474760294</v>
      </c>
      <c r="G69" s="296">
        <f>NGET!G69+SHET!G69+SPT!G69</f>
        <v>1.7984196834816002</v>
      </c>
      <c r="H69" s="296">
        <f>NGET!H69+SHET!H69+SPT!H69</f>
        <v>1.960371560688539</v>
      </c>
      <c r="J69" s="296">
        <f>NGET!J69+SHET!J69+SPT!J69</f>
        <v>8.3852413754516117</v>
      </c>
      <c r="K69" s="296">
        <f>NGET!K69+SHET!K69+SPT!K69</f>
        <v>12.144032619621751</v>
      </c>
    </row>
    <row r="70" spans="2:11">
      <c r="B70" s="308" t="s">
        <v>202</v>
      </c>
      <c r="C70" s="384" t="s">
        <v>178</v>
      </c>
      <c r="D70" s="296">
        <f>NGET!D70+SHET!D70+SPT!D70</f>
        <v>-0.26270833333333332</v>
      </c>
      <c r="E70" s="296">
        <f>NGET!E70+SHET!E70+SPT!E70</f>
        <v>-0.19288107450169212</v>
      </c>
      <c r="F70" s="296">
        <f>NGET!F70+SHET!F70+SPT!F70</f>
        <v>-2.2662386363636364E-2</v>
      </c>
      <c r="G70" s="296">
        <f>NGET!G70+SHET!G70+SPT!G70</f>
        <v>-0.10848684210526313</v>
      </c>
      <c r="H70" s="296">
        <f>NGET!H70+SHET!H70+SPT!H70</f>
        <v>-0.10848684210526313</v>
      </c>
      <c r="J70" s="296">
        <f>NGET!J70+SHET!J70+SPT!J70</f>
        <v>-0.47825179419866182</v>
      </c>
      <c r="K70" s="296">
        <f>NGET!K70+SHET!K70+SPT!K70</f>
        <v>-0.69522547840918814</v>
      </c>
    </row>
    <row r="71" spans="2:11">
      <c r="B71" s="308" t="s">
        <v>203</v>
      </c>
      <c r="C71" s="384" t="s">
        <v>178</v>
      </c>
      <c r="D71" s="296">
        <f>NGET!D71+SHET!D71+SPT!D71</f>
        <v>1.0380963428164232</v>
      </c>
      <c r="E71" s="296">
        <f>NGET!E71+SHET!E71+SPT!E71</f>
        <v>-0.80283525787632204</v>
      </c>
      <c r="F71" s="296">
        <f>NGET!F71+SHET!F71+SPT!F71</f>
        <v>-0.43983962375331076</v>
      </c>
      <c r="G71" s="296">
        <f>NGET!G71+SHET!G71+SPT!G71</f>
        <v>-4.9272508662508701</v>
      </c>
      <c r="H71" s="296">
        <f>NGET!H71+SHET!H71+SPT!H71</f>
        <v>-4.7334047124047167</v>
      </c>
      <c r="J71" s="296">
        <f>NGET!J71+SHET!J71+SPT!J71</f>
        <v>-0.20457853881320931</v>
      </c>
      <c r="K71" s="296">
        <f>NGET!K71+SHET!K71+SPT!K71</f>
        <v>-9.8652341174687965</v>
      </c>
    </row>
    <row r="72" spans="2:11">
      <c r="B72" s="308" t="s">
        <v>204</v>
      </c>
      <c r="C72" s="384" t="s">
        <v>178</v>
      </c>
      <c r="D72" s="296">
        <f>NGET!D72+SHET!D72+SPT!D72</f>
        <v>5.6763999999999992</v>
      </c>
      <c r="E72" s="296">
        <f>NGET!E72+SHET!E72+SPT!E72</f>
        <v>8.2899999999999991</v>
      </c>
      <c r="F72" s="296">
        <f>NGET!F72+SHET!F72+SPT!F72</f>
        <v>16.000684084429519</v>
      </c>
      <c r="G72" s="296">
        <f>NGET!G72+SHET!G72+SPT!G72</f>
        <v>5.8556288707845923</v>
      </c>
      <c r="H72" s="296">
        <f>NGET!H72+SHET!H72+SPT!H72</f>
        <v>5.8556288707845923</v>
      </c>
      <c r="J72" s="296">
        <f>NGET!J72+SHET!J72+SPT!J72</f>
        <v>29.967084084429516</v>
      </c>
      <c r="K72" s="296">
        <f>NGET!K72+SHET!K72+SPT!K72</f>
        <v>41.6783418259987</v>
      </c>
    </row>
    <row r="73" spans="2:11">
      <c r="B73" s="308" t="s">
        <v>205</v>
      </c>
      <c r="C73" s="384" t="s">
        <v>178</v>
      </c>
      <c r="D73" s="296">
        <f>NGET!D73+SHET!D73+SPT!D73</f>
        <v>0.51351564000000005</v>
      </c>
      <c r="E73" s="296">
        <f>NGET!E73+SHET!E73+SPT!E73</f>
        <v>0.99994537500000014</v>
      </c>
      <c r="F73" s="296">
        <f>NGET!F73+SHET!F73+SPT!F73</f>
        <v>0.97957051500000025</v>
      </c>
      <c r="G73" s="296">
        <f>NGET!G73+SHET!G73+SPT!G73</f>
        <v>1.0739003550000001</v>
      </c>
      <c r="H73" s="296">
        <f>NGET!H73+SHET!H73+SPT!H73</f>
        <v>1.0749490949999991</v>
      </c>
      <c r="J73" s="296">
        <f>NGET!J73+SHET!J73+SPT!J73</f>
        <v>2.4930315300000006</v>
      </c>
      <c r="K73" s="296">
        <f>NGET!K73+SHET!K73+SPT!K73</f>
        <v>4.6418809799999998</v>
      </c>
    </row>
    <row r="74" spans="2:11">
      <c r="B74" s="308" t="s">
        <v>118</v>
      </c>
      <c r="C74" s="384" t="s">
        <v>178</v>
      </c>
      <c r="D74" s="296">
        <f>NGET!D74+SHET!D74+SPT!D74</f>
        <v>-0.36422181365925377</v>
      </c>
      <c r="E74" s="296">
        <f>NGET!E74+SHET!E74+SPT!E74</f>
        <v>-0.7310166361205771</v>
      </c>
      <c r="F74" s="296">
        <f>NGET!F74+SHET!F74+SPT!F74</f>
        <v>-1.2340003555764418</v>
      </c>
      <c r="G74" s="296">
        <f>NGET!G74+SHET!G74+SPT!G74</f>
        <v>-2.6804215679034287</v>
      </c>
      <c r="H74" s="296">
        <f>NGET!H74+SHET!H74+SPT!H74</f>
        <v>-2.6390135367826577</v>
      </c>
      <c r="J74" s="296">
        <f>NGET!J74+SHET!J74+SPT!J74</f>
        <v>-2.3292388053562729</v>
      </c>
      <c r="K74" s="296">
        <f>NGET!K74+SHET!K74+SPT!K74</f>
        <v>-7.6486739100423593</v>
      </c>
    </row>
    <row r="75" spans="2:11">
      <c r="B75" s="308" t="s">
        <v>119</v>
      </c>
      <c r="C75" s="384" t="s">
        <v>178</v>
      </c>
      <c r="D75" s="296">
        <f>NGET!D75+SHET!D75+SPT!D75</f>
        <v>-0.14072592815529822</v>
      </c>
      <c r="E75" s="296">
        <f>NGET!E75+SHET!E75+SPT!E75</f>
        <v>0</v>
      </c>
      <c r="F75" s="296">
        <f>NGET!F75+SHET!F75+SPT!F75</f>
        <v>0</v>
      </c>
      <c r="G75" s="296">
        <f>NGET!G75+SHET!G75+SPT!G75</f>
        <v>0</v>
      </c>
      <c r="H75" s="296">
        <f>NGET!H75+SHET!H75+SPT!H75</f>
        <v>0</v>
      </c>
      <c r="J75" s="296">
        <f>NGET!J75+SHET!J75+SPT!J75</f>
        <v>-0.14072592815529822</v>
      </c>
      <c r="K75" s="296">
        <f>NGET!K75+SHET!K75+SPT!K75</f>
        <v>-0.14072592815529822</v>
      </c>
    </row>
    <row r="76" spans="2:11">
      <c r="B76" s="308" t="s">
        <v>120</v>
      </c>
      <c r="C76" s="384" t="s">
        <v>178</v>
      </c>
      <c r="D76" s="296">
        <f>NGET!D76+SHET!D76+SPT!D76</f>
        <v>-0.11869621150000001</v>
      </c>
      <c r="E76" s="296">
        <f>NGET!E76+SHET!E76+SPT!E76</f>
        <v>-0.25029977626860328</v>
      </c>
      <c r="F76" s="296">
        <f>NGET!F76+SHET!F76+SPT!F76</f>
        <v>-0.49437195189361771</v>
      </c>
      <c r="G76" s="296">
        <f>NGET!G76+SHET!G76+SPT!G76</f>
        <v>-0.34826144826506999</v>
      </c>
      <c r="H76" s="296">
        <f>NGET!H76+SHET!H76+SPT!H76</f>
        <v>-0.79959814528593476</v>
      </c>
      <c r="J76" s="296">
        <f>NGET!J76+SHET!J76+SPT!J76</f>
        <v>-0.86336793966222092</v>
      </c>
      <c r="K76" s="296">
        <f>NGET!K76+SHET!K76+SPT!K76</f>
        <v>-2.0112275332132254</v>
      </c>
    </row>
    <row r="77" spans="2:11">
      <c r="B77" s="308" t="s">
        <v>172</v>
      </c>
      <c r="C77" s="384" t="s">
        <v>178</v>
      </c>
      <c r="D77" s="468">
        <f>NGET!D77+SHET!D77+SPT!D77</f>
        <v>0</v>
      </c>
      <c r="E77" s="468">
        <f>NGET!E77+SHET!E77+SPT!E77</f>
        <v>0</v>
      </c>
      <c r="F77" s="468">
        <f>NGET!F77+SHET!F77+SPT!F77</f>
        <v>0</v>
      </c>
      <c r="G77" s="468">
        <f>NGET!G77+SHET!G77+SPT!G77</f>
        <v>0</v>
      </c>
      <c r="H77" s="468">
        <f>NGET!H77+SHET!H77+SPT!H77</f>
        <v>0</v>
      </c>
      <c r="J77" s="299">
        <f>NGET!J77+SHET!J77+SPT!J77</f>
        <v>0</v>
      </c>
      <c r="K77" s="149">
        <f>NGET!K77+SHET!K77+SPT!K77</f>
        <v>0</v>
      </c>
    </row>
    <row r="78" spans="2:11">
      <c r="B78" s="308" t="s">
        <v>172</v>
      </c>
      <c r="C78" s="384" t="s">
        <v>178</v>
      </c>
      <c r="D78" s="468">
        <f>NGET!D78+SHET!D78+SPT!D78</f>
        <v>0</v>
      </c>
      <c r="E78" s="468">
        <f>NGET!E78+SHET!E78+SPT!E78</f>
        <v>0</v>
      </c>
      <c r="F78" s="468">
        <f>NGET!F78+SHET!F78+SPT!F78</f>
        <v>0</v>
      </c>
      <c r="G78" s="468">
        <f>NGET!G78+SHET!G78+SPT!G78</f>
        <v>0</v>
      </c>
      <c r="H78" s="468">
        <f>NGET!H78+SHET!H78+SPT!H78</f>
        <v>0</v>
      </c>
      <c r="J78" s="299">
        <f>NGET!J78+SHET!J78+SPT!J78</f>
        <v>0</v>
      </c>
      <c r="K78" s="149">
        <f>NGET!K78+SHET!K78+SPT!K78</f>
        <v>0</v>
      </c>
    </row>
    <row r="79" spans="2:11">
      <c r="B79" s="308" t="s">
        <v>172</v>
      </c>
      <c r="C79" s="384" t="s">
        <v>178</v>
      </c>
      <c r="D79" s="468">
        <f>NGET!D79+SHET!D79+SPT!D79</f>
        <v>0</v>
      </c>
      <c r="E79" s="468">
        <f>NGET!E79+SHET!E79+SPT!E79</f>
        <v>0</v>
      </c>
      <c r="F79" s="468">
        <f>NGET!F79+SHET!F79+SPT!F79</f>
        <v>0</v>
      </c>
      <c r="G79" s="468">
        <f>NGET!G79+SHET!G79+SPT!G79</f>
        <v>0</v>
      </c>
      <c r="H79" s="468">
        <f>NGET!H79+SHET!H79+SPT!H79</f>
        <v>0</v>
      </c>
      <c r="J79" s="299">
        <f>NGET!J79+SHET!J79+SPT!J79</f>
        <v>0</v>
      </c>
      <c r="K79" s="149">
        <f>NGET!K79+SHET!K79+SPT!K79</f>
        <v>0</v>
      </c>
    </row>
    <row r="80" spans="2:11">
      <c r="B80" s="308" t="s">
        <v>172</v>
      </c>
      <c r="C80" s="384" t="s">
        <v>178</v>
      </c>
      <c r="D80" s="468">
        <f>NGET!D80+SHET!D80+SPT!D80</f>
        <v>0</v>
      </c>
      <c r="E80" s="468">
        <f>NGET!E80+SHET!E80+SPT!E80</f>
        <v>0</v>
      </c>
      <c r="F80" s="468">
        <f>NGET!F80+SHET!F80+SPT!F80</f>
        <v>0</v>
      </c>
      <c r="G80" s="468">
        <f>NGET!G80+SHET!G80+SPT!G80</f>
        <v>0</v>
      </c>
      <c r="H80" s="468">
        <f>NGET!H80+SHET!H80+SPT!H80</f>
        <v>0</v>
      </c>
      <c r="J80" s="299">
        <f>NGET!J80+SHET!J80+SPT!J80</f>
        <v>0</v>
      </c>
      <c r="K80" s="149">
        <f>NGET!K80+SHET!K80+SPT!K80</f>
        <v>0</v>
      </c>
    </row>
    <row r="81" spans="2:11">
      <c r="B81" s="308" t="s">
        <v>172</v>
      </c>
      <c r="C81" s="384" t="s">
        <v>178</v>
      </c>
      <c r="D81" s="468">
        <f>NGET!D81+SHET!D81+SPT!D81</f>
        <v>0</v>
      </c>
      <c r="E81" s="468">
        <f>NGET!E81+SHET!E81+SPT!E81</f>
        <v>0</v>
      </c>
      <c r="F81" s="468">
        <f>NGET!F81+SHET!F81+SPT!F81</f>
        <v>0</v>
      </c>
      <c r="G81" s="468">
        <f>NGET!G81+SHET!G81+SPT!G81</f>
        <v>0</v>
      </c>
      <c r="H81" s="468">
        <f>NGET!H81+SHET!H81+SPT!H81</f>
        <v>0</v>
      </c>
      <c r="J81" s="299">
        <f>NGET!J81+SHET!J81+SPT!J81</f>
        <v>0</v>
      </c>
      <c r="K81" s="149">
        <f>NGET!K81+SHET!K81+SPT!K81</f>
        <v>0</v>
      </c>
    </row>
    <row r="82" spans="2:11">
      <c r="B82" s="308" t="s">
        <v>121</v>
      </c>
      <c r="C82" s="384" t="s">
        <v>178</v>
      </c>
      <c r="D82" s="468">
        <f>NGET!D82+SHET!D82+SPT!D82</f>
        <v>0</v>
      </c>
      <c r="E82" s="468">
        <f>NGET!E82+SHET!E82+SPT!E82</f>
        <v>0</v>
      </c>
      <c r="F82" s="468">
        <f>NGET!F82+SHET!F82+SPT!F82</f>
        <v>0</v>
      </c>
      <c r="G82" s="468">
        <f>NGET!G82+SHET!G82+SPT!G82</f>
        <v>0</v>
      </c>
      <c r="H82" s="468">
        <f>NGET!H82+SHET!H82+SPT!H82</f>
        <v>0</v>
      </c>
      <c r="J82" s="299">
        <f>NGET!J82+SHET!J82+SPT!J82</f>
        <v>0</v>
      </c>
      <c r="K82" s="149">
        <f>NGET!K82+SHET!K82+SPT!K82</f>
        <v>0</v>
      </c>
    </row>
    <row r="83" spans="2:11">
      <c r="B83" s="306" t="s">
        <v>122</v>
      </c>
      <c r="C83" s="384" t="s">
        <v>178</v>
      </c>
      <c r="D83" s="469">
        <f>SUM(D65:D82)</f>
        <v>455.56077282604059</v>
      </c>
      <c r="E83" s="469">
        <f>SUM(E65:E82)</f>
        <v>530.65649610502953</v>
      </c>
      <c r="F83" s="469">
        <f>SUM(F65:F82)</f>
        <v>575.5188162964057</v>
      </c>
      <c r="G83" s="469">
        <f>SUM(G65:G82)</f>
        <v>655.13334165354445</v>
      </c>
      <c r="H83" s="469">
        <f>SUM(H65:H82)</f>
        <v>660.83824836710198</v>
      </c>
      <c r="J83" s="469">
        <f>SUM(J65:J82)</f>
        <v>1561.7360852274762</v>
      </c>
      <c r="K83" s="469">
        <f>SUM(K65:K82)</f>
        <v>2877.7076752481225</v>
      </c>
    </row>
    <row r="84" spans="2:11">
      <c r="B84" s="308" t="s">
        <v>123</v>
      </c>
      <c r="C84" s="384" t="s">
        <v>178</v>
      </c>
      <c r="D84" s="296">
        <f>NGET!D84+SHET!D84+SPT!D84</f>
        <v>310.87884899834438</v>
      </c>
      <c r="E84" s="296">
        <f>NGET!E84+SHET!E84+SPT!E84</f>
        <v>616.12642166106684</v>
      </c>
      <c r="F84" s="296">
        <f>NGET!F84+SHET!F84+SPT!F84</f>
        <v>411.64760609969949</v>
      </c>
      <c r="G84" s="296">
        <f>NGET!G84+SHET!G84+SPT!G84</f>
        <v>40.84499486060043</v>
      </c>
      <c r="H84" s="296">
        <f>NGET!H84+SHET!H84+SPT!H84</f>
        <v>-54.465514436984044</v>
      </c>
      <c r="J84" s="296">
        <f>NGET!J84+SHET!J84+SPT!J84</f>
        <v>1338.6528767591108</v>
      </c>
      <c r="K84" s="296">
        <f>NGET!K84+SHET!K84+SPT!K84</f>
        <v>1325.0323571827271</v>
      </c>
    </row>
    <row r="85" spans="2:11">
      <c r="B85" s="308" t="s">
        <v>179</v>
      </c>
      <c r="C85" s="384" t="s">
        <v>178</v>
      </c>
      <c r="D85" s="296">
        <f>NGET!D85+SHET!D85+SPT!D85</f>
        <v>0.34837175058559922</v>
      </c>
      <c r="E85" s="296">
        <f>NGET!E85+SHET!E85+SPT!E85</f>
        <v>-22.123165393966516</v>
      </c>
      <c r="F85" s="296">
        <f>NGET!F85+SHET!F85+SPT!F85</f>
        <v>-16.928228503478557</v>
      </c>
      <c r="G85" s="296">
        <f>NGET!G85+SHET!G85+SPT!G85</f>
        <v>5.866513108133006</v>
      </c>
      <c r="H85" s="296">
        <f>NGET!H85+SHET!H85+SPT!H85</f>
        <v>0.6892310822176988</v>
      </c>
      <c r="J85" s="296">
        <f>NGET!J85+SHET!J85+SPT!J85</f>
        <v>-38.703022146859475</v>
      </c>
      <c r="K85" s="296">
        <f>NGET!K85+SHET!K85+SPT!K85</f>
        <v>-32.147277956508773</v>
      </c>
    </row>
    <row r="86" spans="2:11">
      <c r="B86" s="308" t="s">
        <v>124</v>
      </c>
      <c r="C86" s="384" t="s">
        <v>178</v>
      </c>
      <c r="D86" s="296">
        <f>NGET!D86+SHET!D86+SPT!D86</f>
        <v>-24.973515639880425</v>
      </c>
      <c r="E86" s="296">
        <f>NGET!E86+SHET!E86+SPT!E86</f>
        <v>9.2337967922051369</v>
      </c>
      <c r="F86" s="296">
        <f>NGET!F86+SHET!F86+SPT!F86</f>
        <v>9.4620527005556188</v>
      </c>
      <c r="G86" s="296">
        <f>NGET!G86+SHET!G86+SPT!G86</f>
        <v>1.6909092990846495</v>
      </c>
      <c r="H86" s="296">
        <f>NGET!H86+SHET!H86+SPT!H86</f>
        <v>-6.7597207529111323</v>
      </c>
      <c r="J86" s="296">
        <f>NGET!J86+SHET!J86+SPT!J86</f>
        <v>-6.2776661471196711</v>
      </c>
      <c r="K86" s="296">
        <f>NGET!K86+SHET!K86+SPT!K86</f>
        <v>-11.346477600946152</v>
      </c>
    </row>
    <row r="87" spans="2:11">
      <c r="B87" s="308" t="s">
        <v>180</v>
      </c>
      <c r="C87" s="384" t="s">
        <v>178</v>
      </c>
      <c r="D87" s="296">
        <f>NGET!D87+SHET!D87+SPT!D87</f>
        <v>-6.6190632611256461E-2</v>
      </c>
      <c r="E87" s="296">
        <f>NGET!E87+SHET!E87+SPT!E87</f>
        <v>4.2034014248536344</v>
      </c>
      <c r="F87" s="296">
        <f>NGET!F87+SHET!F87+SPT!F87</f>
        <v>4.2320571258696376</v>
      </c>
      <c r="G87" s="296">
        <f>NGET!G87+SHET!G87+SPT!G87</f>
        <v>-1.4666282770332508</v>
      </c>
      <c r="H87" s="296">
        <f>NGET!H87+SHET!H87+SPT!H87</f>
        <v>-0.17230777055442559</v>
      </c>
      <c r="J87" s="296">
        <f>NGET!J87+SHET!J87+SPT!J87</f>
        <v>8.3692679181120155</v>
      </c>
      <c r="K87" s="296">
        <f>NGET!K87+SHET!K87+SPT!K87</f>
        <v>6.7303318705243402</v>
      </c>
    </row>
    <row r="88" spans="2:11">
      <c r="B88" s="306" t="s">
        <v>125</v>
      </c>
      <c r="C88" s="384" t="s">
        <v>178</v>
      </c>
      <c r="D88" s="470">
        <f>SUM(D83:D87)</f>
        <v>741.74828730247884</v>
      </c>
      <c r="E88" s="303">
        <f t="shared" ref="E88:H88" si="34">SUM(E83:E87)</f>
        <v>1138.0969505891887</v>
      </c>
      <c r="F88" s="303">
        <f t="shared" si="34"/>
        <v>983.93230371905202</v>
      </c>
      <c r="G88" s="303">
        <f t="shared" si="34"/>
        <v>702.06913064432933</v>
      </c>
      <c r="H88" s="303">
        <f t="shared" si="34"/>
        <v>600.12993648887016</v>
      </c>
      <c r="J88" s="153">
        <f>SUM(J83:J87)</f>
        <v>2863.7775416107197</v>
      </c>
      <c r="K88" s="304">
        <f>SUM(K83:K87)</f>
        <v>4165.9766087439193</v>
      </c>
    </row>
    <row r="89" spans="2:11">
      <c r="C89" s="384"/>
      <c r="D89" s="390"/>
    </row>
    <row r="90" spans="2:11">
      <c r="B90" s="308" t="s">
        <v>142</v>
      </c>
      <c r="C90" s="384" t="s">
        <v>178</v>
      </c>
      <c r="D90" s="296">
        <f>NGET!D90+SHET!D90+SPT!D90</f>
        <v>8688.8900578930952</v>
      </c>
      <c r="E90" s="296">
        <f>NGET!E90+SHET!E90+SPT!E90</f>
        <v>9185.9324674363652</v>
      </c>
      <c r="F90" s="296">
        <f>NGET!F90+SHET!F90+SPT!F90</f>
        <v>9528.2609938958321</v>
      </c>
      <c r="G90" s="296">
        <f>NGET!G90+SHET!G90+SPT!G90</f>
        <v>10463.656812656289</v>
      </c>
      <c r="H90" s="296">
        <f>NGET!H90+SHET!H90+SPT!H90</f>
        <v>12048.984138118074</v>
      </c>
    </row>
    <row r="91" spans="2:11">
      <c r="B91" s="308" t="s">
        <v>182</v>
      </c>
      <c r="C91" s="384" t="s">
        <v>178</v>
      </c>
      <c r="D91" s="296">
        <f>NGET!D91+SHET!D91+SPT!D91</f>
        <v>8809.7576777057948</v>
      </c>
      <c r="E91" s="296">
        <f>NGET!E91+SHET!E91+SPT!E91</f>
        <v>9870.2995076350744</v>
      </c>
      <c r="F91" s="296">
        <f>NGET!F91+SHET!F91+SPT!F91</f>
        <v>10507.272644012148</v>
      </c>
      <c r="G91" s="296">
        <f>NGET!G91+SHET!G91+SPT!G91</f>
        <v>10827.973836562487</v>
      </c>
      <c r="H91" s="296">
        <f>NGET!H91+SHET!H91+SPT!H91</f>
        <v>12074.984533888488</v>
      </c>
    </row>
    <row r="94" spans="2:11">
      <c r="B94" s="306" t="s">
        <v>206</v>
      </c>
      <c r="D94" s="307" t="s">
        <v>198</v>
      </c>
      <c r="E94" s="307" t="s">
        <v>198</v>
      </c>
      <c r="F94" s="307" t="s">
        <v>198</v>
      </c>
      <c r="G94" s="307" t="s">
        <v>198</v>
      </c>
      <c r="H94" s="307" t="s">
        <v>198</v>
      </c>
    </row>
    <row r="95" spans="2:11" ht="22.8">
      <c r="D95" s="309">
        <f>D7</f>
        <v>2022</v>
      </c>
      <c r="E95" s="309">
        <f t="shared" ref="E95:H95" si="35">E7</f>
        <v>2023</v>
      </c>
      <c r="F95" s="309">
        <f t="shared" si="35"/>
        <v>2024</v>
      </c>
      <c r="G95" s="309">
        <f t="shared" si="35"/>
        <v>2025</v>
      </c>
      <c r="H95" s="309">
        <f t="shared" si="35"/>
        <v>2026</v>
      </c>
      <c r="J95" s="310" t="str">
        <f>J7</f>
        <v>Cumulative to 2024</v>
      </c>
      <c r="K95" s="310" t="str">
        <f>SPT!K7</f>
        <v>RIIO-2 period</v>
      </c>
    </row>
    <row r="96" spans="2:11">
      <c r="B96" s="308" t="str">
        <f>NGET!B96</f>
        <v>Latest Totex actuals/forecast</v>
      </c>
      <c r="C96" s="178" t="str">
        <f>NGET!C96</f>
        <v>£m 18/19</v>
      </c>
      <c r="D96" s="296">
        <f>NGET!D96+SPT!D96+SHET!D96</f>
        <v>2113.1776801187461</v>
      </c>
      <c r="E96" s="296">
        <f>NGET!E96+SPT!E96+SHET!E96</f>
        <v>2002.2739069415575</v>
      </c>
      <c r="F96" s="296">
        <f>NGET!F96+SPT!F96+SHET!F96</f>
        <v>2861.5179924098652</v>
      </c>
      <c r="G96" s="296">
        <f>NGET!G96+SPT!G96+SHET!G96</f>
        <v>5256.864512086262</v>
      </c>
      <c r="H96" s="296">
        <f>NGET!H96+SPT!H96+SHET!H96</f>
        <v>6967.4946360616295</v>
      </c>
      <c r="I96" s="308"/>
      <c r="J96" s="296">
        <f>NGET!J96+SPT!J96+SHET!J96</f>
        <v>6976.9695794701693</v>
      </c>
      <c r="K96" s="296">
        <f>NGET!K96+SPT!K96+SHET!K96</f>
        <v>19201.32872761806</v>
      </c>
    </row>
    <row r="97" spans="2:11" ht="22.8">
      <c r="B97" s="312" t="str">
        <f>NGET!B97</f>
        <v>Totex allowance 
   including allowed adjustments and uncertainty mechanisms</v>
      </c>
      <c r="C97" s="178" t="str">
        <f>NGET!C97</f>
        <v>£m 18/19</v>
      </c>
      <c r="D97" s="296">
        <f>NGET!D97+SPT!D97+SHET!D97</f>
        <v>2683.0336965497177</v>
      </c>
      <c r="E97" s="296">
        <f>NGET!E97+SPT!E97+SHET!E97</f>
        <v>2855.4703714465832</v>
      </c>
      <c r="F97" s="296">
        <f>NGET!F97+SPT!F97+SHET!F97</f>
        <v>3312.3374580016971</v>
      </c>
      <c r="G97" s="296">
        <f>NGET!G97+SPT!G97+SHET!G97</f>
        <v>5087.4313475103772</v>
      </c>
      <c r="H97" s="296">
        <f>NGET!H97+SPT!H97+SHET!H97</f>
        <v>6427.1852739988208</v>
      </c>
      <c r="I97" s="308"/>
      <c r="J97" s="296">
        <f>NGET!J97+SPT!J97+SHET!J97</f>
        <v>8850.8415259979975</v>
      </c>
      <c r="K97" s="296">
        <f>NGET!K97+SPT!K97+SHET!K97</f>
        <v>20365.458147507197</v>
      </c>
    </row>
    <row r="98" spans="2:11">
      <c r="B98" s="306" t="str">
        <f>NGET!B98</f>
        <v>Totex out(under)performance (excluding enduring value adjustments)</v>
      </c>
      <c r="C98" s="178" t="str">
        <f>NGET!C98</f>
        <v>£m 18/19</v>
      </c>
      <c r="D98" s="313">
        <f>NGET!D98+SPT!D98+SHET!D98</f>
        <v>569.85601643097198</v>
      </c>
      <c r="E98" s="313">
        <f>NGET!E98+SPT!E98+SHET!E98</f>
        <v>853.19646450502535</v>
      </c>
      <c r="F98" s="313">
        <f>NGET!F98+SPT!F98+SHET!F98</f>
        <v>450.81946559183177</v>
      </c>
      <c r="G98" s="313">
        <f>NGET!G98+SPT!G98+SHET!G98</f>
        <v>-169.43316457588475</v>
      </c>
      <c r="H98" s="296">
        <f>NGET!H98+SPT!H98+SHET!H98</f>
        <v>-540.3093620628083</v>
      </c>
      <c r="I98" s="306"/>
      <c r="J98" s="313">
        <f>NGET!J98+SPT!J98+SHET!J98</f>
        <v>1873.8719465278291</v>
      </c>
      <c r="K98" s="313">
        <f>NGET!K98+SPT!K98+SHET!K98</f>
        <v>1164.1294198891362</v>
      </c>
    </row>
    <row r="99" spans="2:11">
      <c r="B99" s="306" t="str">
        <f>NGET!B99</f>
        <v>Total enduring value adjustments</v>
      </c>
      <c r="C99" s="314" t="str">
        <f>NGET!C99</f>
        <v>£m 18/19</v>
      </c>
      <c r="D99" s="296">
        <f>NGET!D99+SPT!D99+SHET!D99</f>
        <v>-328.70455817652419</v>
      </c>
      <c r="E99" s="296">
        <f>NGET!E99+SPT!E99+SHET!E99</f>
        <v>-451.15412439834586</v>
      </c>
      <c r="F99" s="296">
        <f>NGET!F99+SPT!F99+SHET!F99</f>
        <v>-184.68023803554686</v>
      </c>
      <c r="G99" s="296">
        <f>NGET!G99+SPT!G99+SHET!G99</f>
        <v>496.47362685634704</v>
      </c>
      <c r="H99" s="296">
        <f>NGET!H99+SPT!H99+SHET!H99</f>
        <v>676.0335059209317</v>
      </c>
      <c r="I99" s="308"/>
      <c r="J99" s="296">
        <f>NGET!J99+SPT!J99+SHET!J99</f>
        <v>-937.21701731594499</v>
      </c>
      <c r="K99" s="296">
        <f>NGET!K99+SPT!K99+SHET!K99</f>
        <v>235.29011546133364</v>
      </c>
    </row>
    <row r="100" spans="2:11">
      <c r="B100" s="306" t="str">
        <f>NGET!B100</f>
        <v>Totex out(under)performance (including enduring value adjustments)</v>
      </c>
      <c r="C100" s="314" t="str">
        <f>NGET!C100</f>
        <v>£m 18/19</v>
      </c>
      <c r="D100" s="313">
        <f>NGET!D100+SPT!D100+SHET!D100</f>
        <v>241.15145825444787</v>
      </c>
      <c r="E100" s="313">
        <f>NGET!E100+SPT!E100+SHET!E100</f>
        <v>402.04234010667955</v>
      </c>
      <c r="F100" s="313">
        <f>NGET!F100+SPT!F100+SHET!F100</f>
        <v>266.13922755628494</v>
      </c>
      <c r="G100" s="313">
        <f>NGET!G100+SPT!G100+SHET!G100</f>
        <v>327.04046228046229</v>
      </c>
      <c r="H100" s="296">
        <f>NGET!H100+SPT!H100+SHET!H100</f>
        <v>135.72414385812334</v>
      </c>
      <c r="I100" s="306"/>
      <c r="J100" s="313">
        <f>NGET!J100+SPT!J100+SHET!J100</f>
        <v>936.65492921188411</v>
      </c>
      <c r="K100" s="313">
        <f>NGET!K100+SPT!K100+SHET!K100</f>
        <v>1399.4195353504699</v>
      </c>
    </row>
    <row r="101" spans="2:11">
      <c r="B101" s="306" t="str">
        <f>NGET!B101</f>
        <v>% Totex out/(under) performance</v>
      </c>
      <c r="C101" s="314" t="str">
        <f>NGET!C101</f>
        <v>%</v>
      </c>
      <c r="D101" s="151">
        <f t="shared" ref="D101:H101" si="36">D100/D97</f>
        <v>8.988014521195159E-2</v>
      </c>
      <c r="E101" s="151">
        <f t="shared" si="36"/>
        <v>0.14079723751537462</v>
      </c>
      <c r="F101" s="151">
        <f t="shared" si="36"/>
        <v>8.0347860364699764E-2</v>
      </c>
      <c r="G101" s="151">
        <f t="shared" si="36"/>
        <v>6.4284005019646151E-2</v>
      </c>
      <c r="H101" s="151">
        <f t="shared" si="36"/>
        <v>2.1117197975791268E-2</v>
      </c>
      <c r="J101" s="151">
        <f>J100/J97</f>
        <v>0.10582665235397143</v>
      </c>
      <c r="K101" s="151">
        <f>K100/K97</f>
        <v>6.8715347585822109E-2</v>
      </c>
    </row>
  </sheetData>
  <conditionalFormatting sqref="D6:G7 D94:G95">
    <cfRule type="expression" dxfId="32" priority="3">
      <formula>AND(D$6="Actuals",E$6="Forecast")</formula>
    </cfRule>
  </conditionalFormatting>
  <conditionalFormatting sqref="H6:H7 H94:H95">
    <cfRule type="expression" dxfId="31" priority="56">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ignoredErrors>
    <ignoredError sqref="J29:K29"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sheetPr>
  <dimension ref="A1:M104"/>
  <sheetViews>
    <sheetView zoomScale="80" zoomScaleNormal="80" workbookViewId="0"/>
  </sheetViews>
  <sheetFormatPr defaultColWidth="9.26953125" defaultRowHeight="11.4"/>
  <cols>
    <col min="1" max="1" width="7.26953125" style="104" customWidth="1"/>
    <col min="2" max="2" width="66.26953125" style="308" bestFit="1" customWidth="1"/>
    <col min="3" max="3" width="8.6328125" style="104" bestFit="1" customWidth="1"/>
    <col min="4" max="8" width="9.08984375" style="104" customWidth="1"/>
    <col min="9" max="9" width="3.6328125" style="104" customWidth="1"/>
    <col min="10" max="11" width="13.7265625" style="104" customWidth="1"/>
    <col min="12" max="12" width="5.08984375" style="104" customWidth="1"/>
    <col min="13" max="16384" width="9.26953125" style="104"/>
  </cols>
  <sheetData>
    <row r="1" spans="1:13" s="41" customFormat="1" ht="57" customHeight="1"/>
    <row r="2" spans="1:13" customFormat="1" ht="21">
      <c r="A2" s="419" t="s">
        <v>162</v>
      </c>
      <c r="B2" s="71"/>
      <c r="C2" s="47"/>
      <c r="D2" s="47"/>
      <c r="E2" s="47"/>
      <c r="F2" s="47"/>
      <c r="G2" s="47"/>
      <c r="H2" s="47"/>
      <c r="I2" s="49"/>
      <c r="J2" s="49"/>
      <c r="K2" s="49"/>
      <c r="L2" s="50" t="s">
        <v>30</v>
      </c>
    </row>
    <row r="3" spans="1:13" customFormat="1" ht="21">
      <c r="A3" s="425" t="s">
        <v>18</v>
      </c>
      <c r="B3" s="1"/>
      <c r="C3" s="2"/>
      <c r="D3" s="2"/>
      <c r="E3" s="2"/>
      <c r="F3" s="2"/>
      <c r="G3" s="2"/>
      <c r="H3" s="2"/>
      <c r="I3" s="3"/>
      <c r="J3" s="3"/>
      <c r="K3" s="3"/>
      <c r="L3" s="72"/>
    </row>
    <row r="4" spans="1:13" customFormat="1" ht="21">
      <c r="A4" s="430">
        <f>Data!$B$3</f>
        <v>2024</v>
      </c>
      <c r="B4" s="4"/>
      <c r="C4" s="5"/>
      <c r="D4" s="5"/>
      <c r="E4" s="5"/>
      <c r="F4" s="5"/>
      <c r="G4" s="5"/>
      <c r="H4" s="5"/>
      <c r="I4" s="6"/>
      <c r="J4" s="6"/>
      <c r="K4" s="6"/>
      <c r="L4" s="7"/>
    </row>
    <row r="5" spans="1:13" customFormat="1" ht="12.75" customHeight="1">
      <c r="B5" s="8"/>
      <c r="J5" s="9"/>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ET!B11</f>
        <v>Allowed Equity Return</v>
      </c>
      <c r="C11" s="370" t="s">
        <v>163</v>
      </c>
      <c r="D11" s="284">
        <f t="shared" ref="D11:H20" si="1">D65/D$90</f>
        <v>4.2439449777777791E-2</v>
      </c>
      <c r="E11" s="371">
        <f t="shared" si="1"/>
        <v>4.2616093333333334E-2</v>
      </c>
      <c r="F11" s="371">
        <f t="shared" si="1"/>
        <v>4.9096839111111103E-2</v>
      </c>
      <c r="G11" s="371">
        <f t="shared" si="1"/>
        <v>5.2011518222222233E-2</v>
      </c>
      <c r="H11" s="371">
        <f t="shared" si="1"/>
        <v>5.158926844444444E-2</v>
      </c>
      <c r="I11" s="194"/>
      <c r="J11" s="284">
        <f>AVERAGE(D65:INDEX(D65:H65,0,MATCH(Data!$B$3,$D$7:$H$7,0)))/AVERAGE($D$90:INDEX($D$90:$H$90,0,MATCH(Data!$B$3,$D$7:$H$7,0)))</f>
        <v>4.4756235252990779E-2</v>
      </c>
      <c r="K11" s="285">
        <f t="shared" ref="K11:K20" si="2">AVERAGE(D65:H65)/AVERAGE($D$90:$H$90)</f>
        <v>4.7811458259739259E-2</v>
      </c>
    </row>
    <row r="12" spans="1:13">
      <c r="B12" s="369" t="str">
        <f>ET!B12</f>
        <v>Totex outperformance</v>
      </c>
      <c r="C12" s="370" t="s">
        <v>163</v>
      </c>
      <c r="D12" s="282">
        <f t="shared" si="1"/>
        <v>8.2863736959334876E-3</v>
      </c>
      <c r="E12" s="283">
        <f t="shared" si="1"/>
        <v>7.8452949778623233E-3</v>
      </c>
      <c r="F12" s="283">
        <f t="shared" si="1"/>
        <v>9.7891382334466918E-3</v>
      </c>
      <c r="G12" s="283">
        <f t="shared" si="1"/>
        <v>1.7107750569297822E-2</v>
      </c>
      <c r="H12" s="283">
        <f t="shared" si="1"/>
        <v>1.7180174260987138E-2</v>
      </c>
      <c r="I12" s="194"/>
      <c r="J12" s="284">
        <f>AVERAGE(D66:INDEX(D66:H66,0,MATCH(Data!$B$3,$D$7:$H$7,0)))/AVERAGE($D$90:INDEX($D$90:$H$90,0,MATCH(Data!$B$3,$D$7:$H$7,0)))</f>
        <v>8.6494170842819143E-3</v>
      </c>
      <c r="K12" s="285">
        <f t="shared" si="2"/>
        <v>1.2340567427235064E-2</v>
      </c>
      <c r="M12" s="194"/>
    </row>
    <row r="13" spans="1:13">
      <c r="B13" s="369" t="str">
        <f>ET!B13</f>
        <v>Business Plan Incentive</v>
      </c>
      <c r="C13" s="370" t="s">
        <v>163</v>
      </c>
      <c r="D13" s="282">
        <f t="shared" si="1"/>
        <v>-2.0910176609181381E-3</v>
      </c>
      <c r="E13" s="283">
        <f t="shared" si="1"/>
        <v>-2.0645989101041539E-3</v>
      </c>
      <c r="F13" s="283">
        <f t="shared" si="1"/>
        <v>-2.0240067391933039E-3</v>
      </c>
      <c r="G13" s="283">
        <f t="shared" si="1"/>
        <v>-1.8900738564978459E-3</v>
      </c>
      <c r="H13" s="283">
        <f t="shared" si="1"/>
        <v>-1.6954101019297882E-3</v>
      </c>
      <c r="I13" s="194"/>
      <c r="J13" s="284">
        <f>AVERAGE(D67:INDEX(D67:H67,0,MATCH(Data!$B$3,$D$7:$H$7,0)))/AVERAGE($D$90:INDEX($D$90:$H$90,0,MATCH(Data!$B$3,$D$7:$H$7,0)))</f>
        <v>-2.0595044136237084E-3</v>
      </c>
      <c r="K13" s="285">
        <f t="shared" si="2"/>
        <v>-1.9413187751097579E-3</v>
      </c>
    </row>
    <row r="14" spans="1:13">
      <c r="B14" s="369" t="str">
        <f>ET!B14</f>
        <v xml:space="preserve">Energy not supplied ODI </v>
      </c>
      <c r="C14" s="370" t="s">
        <v>163</v>
      </c>
      <c r="D14" s="282">
        <f t="shared" si="1"/>
        <v>1.3414627715519528E-4</v>
      </c>
      <c r="E14" s="283">
        <f t="shared" si="1"/>
        <v>1.561231197014527E-4</v>
      </c>
      <c r="F14" s="283">
        <f t="shared" si="1"/>
        <v>1.5866626013991974E-4</v>
      </c>
      <c r="G14" s="283">
        <f t="shared" si="1"/>
        <v>1.3748282315674857E-4</v>
      </c>
      <c r="H14" s="283">
        <f t="shared" si="1"/>
        <v>1.2332310000503084E-4</v>
      </c>
      <c r="I14" s="194"/>
      <c r="J14" s="284">
        <f>AVERAGE(D68:INDEX(D68:H68,0,MATCH(Data!$B$3,$D$7:$H$7,0)))/AVERAGE($D$90:INDEX($D$90:$H$90,0,MATCH(Data!$B$3,$D$7:$H$7,0)))</f>
        <v>1.4977048911784849E-4</v>
      </c>
      <c r="K14" s="285">
        <f t="shared" si="2"/>
        <v>1.4118964205014073E-4</v>
      </c>
    </row>
    <row r="15" spans="1:13">
      <c r="B15" s="369" t="str">
        <f>ET!B15</f>
        <v xml:space="preserve">Insulation And Interruption Gas emissions ODI </v>
      </c>
      <c r="C15" s="370" t="s">
        <v>163</v>
      </c>
      <c r="D15" s="282">
        <f t="shared" si="1"/>
        <v>2.6271849711258401E-4</v>
      </c>
      <c r="E15" s="283">
        <f t="shared" si="1"/>
        <v>2.7350416886481524E-4</v>
      </c>
      <c r="F15" s="283">
        <f t="shared" si="1"/>
        <v>3.4307013725657081E-5</v>
      </c>
      <c r="G15" s="283">
        <f t="shared" si="1"/>
        <v>8.1025564249728732E-5</v>
      </c>
      <c r="H15" s="283">
        <f t="shared" si="1"/>
        <v>9.1336756515903464E-5</v>
      </c>
      <c r="I15" s="194"/>
      <c r="J15" s="284">
        <f>AVERAGE(D69:INDEX(D69:H69,0,MATCH(Data!$B$3,$D$7:$H$7,0)))/AVERAGE($D$90:INDEX($D$90:$H$90,0,MATCH(Data!$B$3,$D$7:$H$7,0)))</f>
        <v>1.8883237074795357E-4</v>
      </c>
      <c r="K15" s="285">
        <f t="shared" si="2"/>
        <v>1.4435907457921373E-4</v>
      </c>
    </row>
    <row r="16" spans="1:13">
      <c r="B16" s="369" t="str">
        <f>ET!B16</f>
        <v xml:space="preserve">Timely Connections ODI </v>
      </c>
      <c r="C16" s="370" t="s">
        <v>163</v>
      </c>
      <c r="D16" s="282">
        <f t="shared" si="1"/>
        <v>-4.2255981897720705E-5</v>
      </c>
      <c r="E16" s="283">
        <f t="shared" si="1"/>
        <v>-2.8246610429456264E-5</v>
      </c>
      <c r="F16" s="283">
        <f t="shared" si="1"/>
        <v>-2.8007724024585383E-6</v>
      </c>
      <c r="G16" s="283">
        <f t="shared" si="1"/>
        <v>-1.5772934156705197E-5</v>
      </c>
      <c r="H16" s="283">
        <f t="shared" si="1"/>
        <v>-1.4148437540901924E-5</v>
      </c>
      <c r="I16" s="194"/>
      <c r="J16" s="284">
        <f>AVERAGE(D70:INDEX(D70:H70,0,MATCH(Data!$B$3,$D$7:$H$7,0)))/AVERAGE($D$90:INDEX($D$90:$H$90,0,MATCH(Data!$B$3,$D$7:$H$7,0)))</f>
        <v>-2.4215318500198181E-5</v>
      </c>
      <c r="K16" s="285">
        <f t="shared" si="2"/>
        <v>-2.0175658676765636E-5</v>
      </c>
    </row>
    <row r="17" spans="2:11">
      <c r="B17" s="369" t="str">
        <f>ET!B17</f>
        <v xml:space="preserve">Quality of connections satisfaction survey ODI </v>
      </c>
      <c r="C17" s="370" t="s">
        <v>163</v>
      </c>
      <c r="D17" s="282">
        <f t="shared" si="1"/>
        <v>3.7851608399919644E-5</v>
      </c>
      <c r="E17" s="283">
        <f t="shared" si="1"/>
        <v>-5.1934379520915538E-4</v>
      </c>
      <c r="F17" s="283">
        <f t="shared" si="1"/>
        <v>-4.6505794854718974E-4</v>
      </c>
      <c r="G17" s="283">
        <f t="shared" si="1"/>
        <v>-1.1742364689661911E-3</v>
      </c>
      <c r="H17" s="283">
        <f t="shared" si="1"/>
        <v>-1.053298718828088E-3</v>
      </c>
      <c r="I17" s="194"/>
      <c r="J17" s="284">
        <f>AVERAGE(D71:INDEX(D71:H71,0,MATCH(Data!$B$3,$D$7:$H$7,0)))/AVERAGE($D$90:INDEX($D$90:$H$90,0,MATCH(Data!$B$3,$D$7:$H$7,0)))</f>
        <v>-3.1799847231802719E-4</v>
      </c>
      <c r="K17" s="285">
        <f t="shared" si="2"/>
        <v>-6.6227924186142379E-4</v>
      </c>
    </row>
    <row r="18" spans="2:11">
      <c r="B18" s="369" t="str">
        <f>ET!B18</f>
        <v>SO-TO Optimisation ODI</v>
      </c>
      <c r="C18" s="370" t="s">
        <v>163</v>
      </c>
      <c r="D18" s="282">
        <f t="shared" si="1"/>
        <v>8.0423756189159149E-4</v>
      </c>
      <c r="E18" s="283">
        <f t="shared" si="1"/>
        <v>7.9407650388621303E-4</v>
      </c>
      <c r="F18" s="283">
        <f t="shared" si="1"/>
        <v>9.1167940743714542E-4</v>
      </c>
      <c r="G18" s="283">
        <f t="shared" si="1"/>
        <v>8.5135161861722784E-4</v>
      </c>
      <c r="H18" s="283">
        <f t="shared" si="1"/>
        <v>7.6366864159076284E-4</v>
      </c>
      <c r="I18" s="194"/>
      <c r="J18" s="284">
        <f>AVERAGE(D72:INDEX(D72:H72,0,MATCH(Data!$B$3,$D$7:$H$7,0)))/AVERAGE($D$90:INDEX($D$90:$H$90,0,MATCH(Data!$B$3,$D$7:$H$7,0)))</f>
        <v>8.3730096513231686E-4</v>
      </c>
      <c r="K18" s="285">
        <f t="shared" si="2"/>
        <v>8.2332483925975724E-4</v>
      </c>
    </row>
    <row r="19" spans="2:11">
      <c r="B19" s="369" t="str">
        <f>ET!B19</f>
        <v xml:space="preserve">Environmental scorecard ODI </v>
      </c>
      <c r="C19" s="370" t="s">
        <v>163</v>
      </c>
      <c r="D19" s="282">
        <f t="shared" si="1"/>
        <v>8.2597713261360059E-5</v>
      </c>
      <c r="E19" s="283">
        <f t="shared" si="1"/>
        <v>1.5880662549143767E-4</v>
      </c>
      <c r="F19" s="283">
        <f t="shared" si="1"/>
        <v>1.5251210183654274E-4</v>
      </c>
      <c r="G19" s="283">
        <f t="shared" si="1"/>
        <v>1.5613469118994278E-4</v>
      </c>
      <c r="H19" s="283">
        <f t="shared" si="1"/>
        <v>1.4019073497871401E-4</v>
      </c>
      <c r="I19" s="194"/>
      <c r="J19" s="284">
        <f>AVERAGE(D73:INDEX(D73:H73,0,MATCH(Data!$B$3,$D$7:$H$7,0)))/AVERAGE($D$90:INDEX($D$90:$H$90,0,MATCH(Data!$B$3,$D$7:$H$7,0)))</f>
        <v>1.3165152408559146E-4</v>
      </c>
      <c r="K19" s="285">
        <f t="shared" si="2"/>
        <v>1.3863647228152127E-4</v>
      </c>
    </row>
    <row r="20" spans="2:11">
      <c r="B20" s="369" t="str">
        <f>ET!B20</f>
        <v>Network innovation input for RORE</v>
      </c>
      <c r="C20" s="370" t="s">
        <v>163</v>
      </c>
      <c r="D20" s="282">
        <f t="shared" si="1"/>
        <v>-3.799205344724929E-5</v>
      </c>
      <c r="E20" s="283">
        <f t="shared" si="1"/>
        <v>-8.8591427659219973E-5</v>
      </c>
      <c r="F20" s="283">
        <f t="shared" si="1"/>
        <v>-1.5097129479358366E-4</v>
      </c>
      <c r="G20" s="283">
        <f t="shared" si="1"/>
        <v>-2.6616411099384546E-4</v>
      </c>
      <c r="H20" s="283">
        <f t="shared" si="1"/>
        <v>-2.4522186495286541E-4</v>
      </c>
      <c r="I20" s="194"/>
      <c r="J20" s="284">
        <f>AVERAGE(D74:INDEX(D74:H74,0,MATCH(Data!$B$3,$D$7:$H$7,0)))/AVERAGE($D$90:INDEX($D$90:$H$90,0,MATCH(Data!$B$3,$D$7:$H$7,0)))</f>
        <v>-9.3137128473946487E-5</v>
      </c>
      <c r="K20" s="285">
        <f t="shared" si="2"/>
        <v>-1.6350950513065426E-4</v>
      </c>
    </row>
    <row r="21" spans="2:11">
      <c r="B21" s="369" t="str">
        <f>ET!B21</f>
        <v>Carry-over Network innovation input for RORE</v>
      </c>
      <c r="C21" s="370" t="s">
        <v>163</v>
      </c>
      <c r="D21" s="282">
        <f t="shared" ref="D21:H21" si="3">D75/D$90</f>
        <v>-1.1672742408148334E-5</v>
      </c>
      <c r="E21" s="283">
        <f t="shared" si="3"/>
        <v>0</v>
      </c>
      <c r="F21" s="283">
        <f t="shared" si="3"/>
        <v>0</v>
      </c>
      <c r="G21" s="283">
        <f t="shared" si="3"/>
        <v>0</v>
      </c>
      <c r="H21" s="283">
        <f t="shared" si="3"/>
        <v>0</v>
      </c>
      <c r="I21" s="194"/>
      <c r="J21" s="284">
        <f>AVERAGE(D75:INDEX(D75:H75,0,MATCH(Data!$B$3,$D$7:$H$7,0)))/AVERAGE($D$90:INDEX($D$90:$H$90,0,MATCH(Data!$B$3,$D$7:$H$7,0)))</f>
        <v>-3.8322750620413946E-6</v>
      </c>
      <c r="K21" s="285">
        <f t="shared" ref="K21:K22" si="4">AVERAGE(D75:H75)/AVERAGE($D$90:$H$90)</f>
        <v>-2.1674148829530516E-6</v>
      </c>
    </row>
    <row r="22" spans="2:11">
      <c r="B22" s="369" t="str">
        <f>ET!B22</f>
        <v>Strategic innovation input for RORE</v>
      </c>
      <c r="C22" s="370" t="s">
        <v>163</v>
      </c>
      <c r="D22" s="282">
        <f t="shared" ref="D22:H22" si="5">D76/D$90</f>
        <v>0</v>
      </c>
      <c r="E22" s="283">
        <f t="shared" si="5"/>
        <v>-1.497589225588238E-5</v>
      </c>
      <c r="F22" s="283">
        <f t="shared" si="5"/>
        <v>-2.7124798090762602E-5</v>
      </c>
      <c r="G22" s="283">
        <f t="shared" si="5"/>
        <v>-1.6393480719129151E-6</v>
      </c>
      <c r="H22" s="283">
        <f t="shared" si="5"/>
        <v>0</v>
      </c>
      <c r="I22" s="194"/>
      <c r="J22" s="284">
        <f>AVERAGE(D76:INDEX(D76:H76,0,MATCH(Data!$B$3,$D$7:$H$7,0)))/AVERAGE($D$90:INDEX($D$90:$H$90,0,MATCH(Data!$B$3,$D$7:$H$7,0)))</f>
        <v>-1.4179819986495654E-5</v>
      </c>
      <c r="K22" s="285">
        <f t="shared" si="4"/>
        <v>-8.3564216006813014E-6</v>
      </c>
    </row>
    <row r="23" spans="2:11">
      <c r="B23" s="369" t="str">
        <f>ET!B23</f>
        <v/>
      </c>
      <c r="C23" s="370" t="s">
        <v>163</v>
      </c>
      <c r="D23" s="460"/>
      <c r="E23" s="461"/>
      <c r="F23" s="461"/>
      <c r="G23" s="461"/>
      <c r="H23" s="461"/>
      <c r="I23" s="194"/>
      <c r="J23" s="466"/>
      <c r="K23" s="467"/>
    </row>
    <row r="24" spans="2:11">
      <c r="B24" s="369" t="str">
        <f>ET!B24</f>
        <v/>
      </c>
      <c r="C24" s="370" t="s">
        <v>163</v>
      </c>
      <c r="D24" s="460"/>
      <c r="E24" s="461"/>
      <c r="F24" s="461"/>
      <c r="G24" s="461"/>
      <c r="H24" s="461"/>
      <c r="I24" s="194"/>
      <c r="J24" s="466"/>
      <c r="K24" s="467"/>
    </row>
    <row r="25" spans="2:11">
      <c r="B25" s="369" t="str">
        <f>ET!B25</f>
        <v/>
      </c>
      <c r="C25" s="370" t="s">
        <v>163</v>
      </c>
      <c r="D25" s="460"/>
      <c r="E25" s="461"/>
      <c r="F25" s="461"/>
      <c r="G25" s="461"/>
      <c r="H25" s="461"/>
      <c r="I25" s="194"/>
      <c r="J25" s="466"/>
      <c r="K25" s="467"/>
    </row>
    <row r="26" spans="2:11">
      <c r="B26" s="369" t="str">
        <f>ET!B26</f>
        <v/>
      </c>
      <c r="C26" s="370" t="s">
        <v>163</v>
      </c>
      <c r="D26" s="460"/>
      <c r="E26" s="461"/>
      <c r="F26" s="461"/>
      <c r="G26" s="461"/>
      <c r="H26" s="461"/>
      <c r="I26" s="194"/>
      <c r="J26" s="466"/>
      <c r="K26" s="467"/>
    </row>
    <row r="27" spans="2:11">
      <c r="B27" s="369" t="str">
        <f>ET!B27</f>
        <v/>
      </c>
      <c r="C27" s="370" t="s">
        <v>163</v>
      </c>
      <c r="D27" s="460"/>
      <c r="E27" s="461"/>
      <c r="F27" s="461"/>
      <c r="G27" s="461"/>
      <c r="H27" s="461"/>
      <c r="I27" s="194"/>
      <c r="J27" s="466"/>
      <c r="K27" s="467"/>
    </row>
    <row r="28" spans="2:11">
      <c r="B28" s="369" t="str">
        <f>ET!B28</f>
        <v>Penalties and fines (Other Activities)</v>
      </c>
      <c r="C28" s="370" t="s">
        <v>163</v>
      </c>
      <c r="D28" s="460"/>
      <c r="E28" s="461"/>
      <c r="F28" s="461"/>
      <c r="G28" s="461"/>
      <c r="H28" s="461"/>
      <c r="I28" s="194"/>
      <c r="J28" s="466"/>
      <c r="K28" s="467"/>
    </row>
    <row r="29" spans="2:11">
      <c r="B29" s="372" t="str">
        <f>ET!B29</f>
        <v>RoRE - Operational performance</v>
      </c>
      <c r="C29" s="370" t="s">
        <v>163</v>
      </c>
      <c r="D29" s="324">
        <f>SUM(D11:D28)</f>
        <v>4.9864436692860677E-2</v>
      </c>
      <c r="E29" s="324">
        <f t="shared" ref="E29:H29" si="6">SUM(E11:E28)</f>
        <v>4.9128142093481708E-2</v>
      </c>
      <c r="F29" s="324">
        <f>SUM(F11:F28)</f>
        <v>5.7473180574669748E-2</v>
      </c>
      <c r="G29" s="324">
        <f t="shared" si="6"/>
        <v>6.6997376770047176E-2</v>
      </c>
      <c r="H29" s="324">
        <f t="shared" si="6"/>
        <v>6.6879882815270339E-2</v>
      </c>
      <c r="I29" s="287"/>
      <c r="J29" s="151">
        <f>SUM(J11:J28)</f>
        <v>5.2200340258391979E-2</v>
      </c>
      <c r="K29" s="323">
        <f>SUM(K11:K28)</f>
        <v>5.8601728697882736E-2</v>
      </c>
    </row>
    <row r="30" spans="2:11">
      <c r="B30" s="369" t="str">
        <f>ET!B30</f>
        <v>Debt performance - at notional gearing</v>
      </c>
      <c r="C30" s="370" t="s">
        <v>163</v>
      </c>
      <c r="D30" s="282">
        <f>(D84)/D$90</f>
        <v>3.0808000662251568E-2</v>
      </c>
      <c r="E30" s="283">
        <f t="shared" ref="E30:H30" si="7">(E84)/E$90</f>
        <v>5.6120003208267183E-2</v>
      </c>
      <c r="F30" s="283">
        <f t="shared" si="7"/>
        <v>3.9177688891091078E-2</v>
      </c>
      <c r="G30" s="283">
        <f t="shared" si="7"/>
        <v>6.9041523964542793E-3</v>
      </c>
      <c r="H30" s="283">
        <f t="shared" si="7"/>
        <v>-2.7161499483581387E-3</v>
      </c>
      <c r="I30" s="194"/>
      <c r="J30" s="284">
        <f>AVERAGE(D84:INDEX(D84:H84,0,MATCH(Data!$B$3,$D$7:$H$7,0)))/AVERAGE($D$90:INDEX($D$90:$H$90,0,MATCH(Data!$B$3,$D$7:$H$7,0)))</f>
        <v>4.2063341480617467E-2</v>
      </c>
      <c r="K30" s="285">
        <f>AVERAGE(D84:H84)/AVERAGE($D$90:$H$90)</f>
        <v>2.458595633918962E-2</v>
      </c>
    </row>
    <row r="31" spans="2:11">
      <c r="B31" s="369" t="str">
        <f>ET!B31</f>
        <v>Tax performance - at notional gearing</v>
      </c>
      <c r="C31" s="370" t="s">
        <v>163</v>
      </c>
      <c r="D31" s="282">
        <f>(D86)/D$90</f>
        <v>-4.8916091675654545E-4</v>
      </c>
      <c r="E31" s="283">
        <f t="shared" ref="E31:H31" si="8">(E86)/E$90</f>
        <v>2.9659100156848974E-3</v>
      </c>
      <c r="F31" s="283">
        <f t="shared" si="8"/>
        <v>1.3944794810427405E-3</v>
      </c>
      <c r="G31" s="283">
        <f t="shared" si="8"/>
        <v>-1.3668287131503827E-4</v>
      </c>
      <c r="H31" s="283">
        <f t="shared" si="8"/>
        <v>-1.1724379730343327E-3</v>
      </c>
      <c r="I31" s="194"/>
      <c r="J31" s="284">
        <f>AVERAGE(D86:INDEX(D86:H86,0,MATCH(Data!$B$3,$D$7:$H$7,0)))/AVERAGE($D$90:INDEX($D$90:$H$90,0,MATCH(Data!$B$3,$D$7:$H$7,0)))</f>
        <v>1.2985796373932547E-3</v>
      </c>
      <c r="K31" s="285">
        <f>AVERAGE(D86:H86)/AVERAGE($D$90:$H$90)</f>
        <v>4.3785971631238053E-4</v>
      </c>
    </row>
    <row r="32" spans="2:11">
      <c r="B32" s="372" t="str">
        <f>ET!B32</f>
        <v>RoRE - including financing and tax</v>
      </c>
      <c r="C32" s="370" t="s">
        <v>163</v>
      </c>
      <c r="D32" s="151">
        <f>SUM(D29:D31)</f>
        <v>8.0183276438355697E-2</v>
      </c>
      <c r="E32" s="325">
        <f t="shared" ref="E32:H32" si="9">SUM(E29:E31)</f>
        <v>0.10821405531743379</v>
      </c>
      <c r="F32" s="325">
        <f t="shared" si="9"/>
        <v>9.8045348946803557E-2</v>
      </c>
      <c r="G32" s="325">
        <f t="shared" si="9"/>
        <v>7.3764846295186426E-2</v>
      </c>
      <c r="H32" s="325">
        <f t="shared" si="9"/>
        <v>6.2991294893877864E-2</v>
      </c>
      <c r="I32" s="287"/>
      <c r="J32" s="151">
        <f>SUM(J29:J31)</f>
        <v>9.556226137640271E-2</v>
      </c>
      <c r="K32" s="323">
        <f>SUM(K29:K31)</f>
        <v>8.362554475338474E-2</v>
      </c>
    </row>
    <row r="36" spans="2:13">
      <c r="B36" s="366" t="s">
        <v>57</v>
      </c>
      <c r="C36" s="367"/>
      <c r="D36" s="367"/>
      <c r="E36" s="367"/>
      <c r="F36" s="367"/>
      <c r="G36" s="367"/>
      <c r="H36" s="367"/>
      <c r="I36" s="368"/>
      <c r="J36" s="367"/>
      <c r="K36" s="367"/>
      <c r="L36" s="367"/>
    </row>
    <row r="37" spans="2:13">
      <c r="B37" s="147"/>
      <c r="I37" s="345"/>
    </row>
    <row r="38" spans="2:13">
      <c r="B38" s="369" t="str">
        <f>ET!B38</f>
        <v>Allowed Equity Return</v>
      </c>
      <c r="C38" s="370" t="s">
        <v>163</v>
      </c>
      <c r="D38" s="282">
        <f t="shared" ref="D38:H47" si="10">D65/D$91</f>
        <v>4.1036382491121355E-2</v>
      </c>
      <c r="E38" s="283">
        <f t="shared" si="10"/>
        <v>3.9115802951163681E-2</v>
      </c>
      <c r="F38" s="283">
        <f t="shared" si="10"/>
        <v>4.422166562090591E-2</v>
      </c>
      <c r="G38" s="283">
        <f t="shared" si="10"/>
        <v>4.9661286603276442E-2</v>
      </c>
      <c r="H38" s="283">
        <f t="shared" si="10"/>
        <v>5.1458652847636753E-2</v>
      </c>
      <c r="I38" s="194"/>
      <c r="J38" s="284">
        <f>AVERAGE(D65:INDEX(D65:H65,0,MATCH(Data!$B$3,$D$7:$H$7,0)))/AVERAGE($D$91:INDEX($D$91:$H$91,0,MATCH(Data!$B$3,$D$7:$H$7,0)))</f>
        <v>4.1503501440778384E-2</v>
      </c>
      <c r="K38" s="285">
        <f t="shared" ref="K38:K47" si="11">AVERAGE(D65:H65)/AVERAGE($D$91:$H$91)</f>
        <v>4.5334903379719592E-2</v>
      </c>
      <c r="M38" s="374"/>
    </row>
    <row r="39" spans="2:13">
      <c r="B39" s="369" t="str">
        <f>ET!B39</f>
        <v>Totex outperformance</v>
      </c>
      <c r="C39" s="370" t="s">
        <v>163</v>
      </c>
      <c r="D39" s="282">
        <f t="shared" si="10"/>
        <v>8.0124224567291007E-3</v>
      </c>
      <c r="E39" s="283">
        <f t="shared" si="10"/>
        <v>7.200918442887538E-3</v>
      </c>
      <c r="F39" s="283">
        <f t="shared" si="10"/>
        <v>8.8171052457496676E-3</v>
      </c>
      <c r="G39" s="283">
        <f t="shared" si="10"/>
        <v>1.6334706872607137E-2</v>
      </c>
      <c r="H39" s="283">
        <f t="shared" si="10"/>
        <v>1.7136676867400811E-2</v>
      </c>
      <c r="I39" s="194"/>
      <c r="J39" s="284">
        <f>AVERAGE(D66:INDEX(D66:H66,0,MATCH(Data!$B$3,$D$7:$H$7,0)))/AVERAGE($D$91:INDEX($D$91:$H$91,0,MATCH(Data!$B$3,$D$7:$H$7,0)))</f>
        <v>8.02080631648747E-3</v>
      </c>
      <c r="K39" s="285">
        <f t="shared" si="11"/>
        <v>1.1701346336798962E-2</v>
      </c>
    </row>
    <row r="40" spans="2:13">
      <c r="B40" s="369" t="str">
        <f>ET!B40</f>
        <v>Business Plan Incentive</v>
      </c>
      <c r="C40" s="370" t="s">
        <v>163</v>
      </c>
      <c r="D40" s="282">
        <f t="shared" si="10"/>
        <v>-2.0218876771125678E-3</v>
      </c>
      <c r="E40" s="283">
        <f t="shared" si="10"/>
        <v>-1.8950222280852286E-3</v>
      </c>
      <c r="F40" s="283">
        <f t="shared" si="10"/>
        <v>-1.8230287500282383E-3</v>
      </c>
      <c r="G40" s="283">
        <f t="shared" si="10"/>
        <v>-1.8046675562874797E-3</v>
      </c>
      <c r="H40" s="283">
        <f t="shared" si="10"/>
        <v>-1.6911176006213853E-3</v>
      </c>
      <c r="I40" s="194"/>
      <c r="J40" s="284">
        <f>AVERAGE(D67:INDEX(D67:H67,0,MATCH(Data!$B$3,$D$7:$H$7,0)))/AVERAGE($D$91:INDEX($D$91:$H$91,0,MATCH(Data!$B$3,$D$7:$H$7,0)))</f>
        <v>-1.9098265060712217E-3</v>
      </c>
      <c r="K40" s="285">
        <f t="shared" si="11"/>
        <v>-1.8407616563527176E-3</v>
      </c>
    </row>
    <row r="41" spans="2:13">
      <c r="B41" s="369" t="str">
        <f>ET!B41</f>
        <v xml:space="preserve">Energy not supplied ODI </v>
      </c>
      <c r="C41" s="370" t="s">
        <v>163</v>
      </c>
      <c r="D41" s="282">
        <f t="shared" si="10"/>
        <v>1.2971134093220599E-4</v>
      </c>
      <c r="E41" s="283">
        <f t="shared" si="10"/>
        <v>1.4329988294788863E-4</v>
      </c>
      <c r="F41" s="283">
        <f t="shared" si="10"/>
        <v>1.4291116145681365E-4</v>
      </c>
      <c r="G41" s="283">
        <f t="shared" si="10"/>
        <v>1.3127042080647705E-4</v>
      </c>
      <c r="H41" s="283">
        <f t="shared" si="10"/>
        <v>1.2301086606969838E-4</v>
      </c>
      <c r="I41" s="194"/>
      <c r="J41" s="284">
        <f>AVERAGE(D68:INDEX(D68:H68,0,MATCH(Data!$B$3,$D$7:$H$7,0)))/AVERAGE($D$91:INDEX($D$91:$H$91,0,MATCH(Data!$B$3,$D$7:$H$7,0)))</f>
        <v>1.3888566980113306E-4</v>
      </c>
      <c r="K41" s="285">
        <f t="shared" si="11"/>
        <v>1.3387625087248764E-4</v>
      </c>
    </row>
    <row r="42" spans="2:13">
      <c r="B42" s="369" t="str">
        <f>ET!B42</f>
        <v xml:space="preserve">Insulation And Interruption Gas emissions ODI </v>
      </c>
      <c r="C42" s="370" t="s">
        <v>163</v>
      </c>
      <c r="D42" s="282">
        <f t="shared" si="10"/>
        <v>2.5403290550316546E-4</v>
      </c>
      <c r="E42" s="283">
        <f t="shared" si="10"/>
        <v>2.5103979128161705E-4</v>
      </c>
      <c r="F42" s="283">
        <f t="shared" si="10"/>
        <v>3.0900426929612647E-5</v>
      </c>
      <c r="G42" s="283">
        <f t="shared" si="10"/>
        <v>7.7364282103935223E-5</v>
      </c>
      <c r="H42" s="283">
        <f t="shared" si="10"/>
        <v>9.1105506774968482E-5</v>
      </c>
      <c r="I42" s="194"/>
      <c r="J42" s="284">
        <f>AVERAGE(D69:INDEX(D69:H69,0,MATCH(Data!$B$3,$D$7:$H$7,0)))/AVERAGE($D$91:INDEX($D$91:$H$91,0,MATCH(Data!$B$3,$D$7:$H$7,0)))</f>
        <v>1.7510866423644465E-4</v>
      </c>
      <c r="K42" s="285">
        <f t="shared" si="11"/>
        <v>1.3688151201080056E-4</v>
      </c>
    </row>
    <row r="43" spans="2:13">
      <c r="B43" s="369" t="str">
        <f>ET!B43</f>
        <v xml:space="preserve">Timely Connections ODI </v>
      </c>
      <c r="C43" s="370" t="s">
        <v>163</v>
      </c>
      <c r="D43" s="282">
        <f t="shared" si="10"/>
        <v>-4.0858980141649802E-5</v>
      </c>
      <c r="E43" s="283">
        <f t="shared" si="10"/>
        <v>-2.5926563445285995E-5</v>
      </c>
      <c r="F43" s="283">
        <f t="shared" si="10"/>
        <v>-2.5226638395495649E-6</v>
      </c>
      <c r="G43" s="283">
        <f t="shared" si="10"/>
        <v>-1.5060206479342374E-5</v>
      </c>
      <c r="H43" s="283">
        <f t="shared" si="10"/>
        <v>-1.4112616009234128E-5</v>
      </c>
      <c r="I43" s="194"/>
      <c r="J43" s="284">
        <f>AVERAGE(D70:INDEX(D70:H70,0,MATCH(Data!$B$3,$D$7:$H$7,0)))/AVERAGE($D$91:INDEX($D$91:$H$91,0,MATCH(Data!$B$3,$D$7:$H$7,0)))</f>
        <v>-2.2455429965922422E-5</v>
      </c>
      <c r="K43" s="285">
        <f t="shared" si="11"/>
        <v>-1.9130592749637658E-5</v>
      </c>
    </row>
    <row r="44" spans="2:13">
      <c r="B44" s="369" t="str">
        <f>ET!B44</f>
        <v xml:space="preserve">Quality of connections satisfaction survey ODI </v>
      </c>
      <c r="C44" s="370" t="s">
        <v>163</v>
      </c>
      <c r="D44" s="282">
        <f t="shared" si="10"/>
        <v>3.6600217211500755E-5</v>
      </c>
      <c r="E44" s="283">
        <f t="shared" si="10"/>
        <v>-4.7668727863943482E-4</v>
      </c>
      <c r="F44" s="283">
        <f t="shared" si="10"/>
        <v>-4.1887904531809421E-4</v>
      </c>
      <c r="G44" s="283">
        <f t="shared" si="10"/>
        <v>-1.1211765358626715E-3</v>
      </c>
      <c r="H44" s="283">
        <f t="shared" si="10"/>
        <v>-1.0506319386056732E-3</v>
      </c>
      <c r="I44" s="194"/>
      <c r="J44" s="284">
        <f>AVERAGE(D71:INDEX(D71:H71,0,MATCH(Data!$B$3,$D$7:$H$7,0)))/AVERAGE($D$91:INDEX($D$91:$H$91,0,MATCH(Data!$B$3,$D$7:$H$7,0)))</f>
        <v>-2.9488740461329629E-4</v>
      </c>
      <c r="K44" s="285">
        <f t="shared" si="11"/>
        <v>-6.2797426669297597E-4</v>
      </c>
    </row>
    <row r="45" spans="2:13">
      <c r="B45" s="369" t="str">
        <f>ET!B45</f>
        <v>SO-TO Optimisation ODI</v>
      </c>
      <c r="C45" s="370" t="s">
        <v>163</v>
      </c>
      <c r="D45" s="282">
        <f t="shared" si="10"/>
        <v>7.7764910658175682E-4</v>
      </c>
      <c r="E45" s="283">
        <f t="shared" si="10"/>
        <v>7.288547031097033E-4</v>
      </c>
      <c r="F45" s="283">
        <f t="shared" si="10"/>
        <v>8.2115229084120758E-4</v>
      </c>
      <c r="G45" s="283">
        <f t="shared" si="10"/>
        <v>8.1288180344348026E-4</v>
      </c>
      <c r="H45" s="283">
        <f t="shared" si="10"/>
        <v>7.6173515739158082E-4</v>
      </c>
      <c r="I45" s="194"/>
      <c r="J45" s="284">
        <f>AVERAGE(D72:INDEX(D72:H72,0,MATCH(Data!$B$3,$D$7:$H$7,0)))/AVERAGE($D$91:INDEX($D$91:$H$91,0,MATCH(Data!$B$3,$D$7:$H$7,0)))</f>
        <v>7.7644872532955196E-4</v>
      </c>
      <c r="K45" s="285">
        <f t="shared" si="11"/>
        <v>7.8067796709298297E-4</v>
      </c>
    </row>
    <row r="46" spans="2:13">
      <c r="B46" s="369" t="str">
        <f>ET!B46</f>
        <v xml:space="preserve">Environmental scorecard ODI </v>
      </c>
      <c r="C46" s="370" t="s">
        <v>163</v>
      </c>
      <c r="D46" s="282">
        <f t="shared" si="10"/>
        <v>7.9866995732351821E-5</v>
      </c>
      <c r="E46" s="283">
        <f t="shared" si="10"/>
        <v>1.4576297788430919E-4</v>
      </c>
      <c r="F46" s="283">
        <f t="shared" si="10"/>
        <v>1.3736809319422831E-4</v>
      </c>
      <c r="G46" s="283">
        <f t="shared" si="10"/>
        <v>1.4907947148877748E-4</v>
      </c>
      <c r="H46" s="283">
        <f t="shared" si="10"/>
        <v>1.3983579494819448E-4</v>
      </c>
      <c r="I46" s="194"/>
      <c r="J46" s="284">
        <f>AVERAGE(D73:INDEX(D73:H73,0,MATCH(Data!$B$3,$D$7:$H$7,0)))/AVERAGE($D$91:INDEX($D$91:$H$91,0,MATCH(Data!$B$3,$D$7:$H$7,0)))</f>
        <v>1.2208353067859725E-4</v>
      </c>
      <c r="K46" s="285">
        <f t="shared" si="11"/>
        <v>1.3145533109749195E-4</v>
      </c>
    </row>
    <row r="47" spans="2:13">
      <c r="B47" s="369" t="str">
        <f>ET!B47</f>
        <v>Network innovation input for RORE</v>
      </c>
      <c r="C47" s="370" t="s">
        <v>163</v>
      </c>
      <c r="D47" s="282">
        <f t="shared" si="10"/>
        <v>-3.6736019082434081E-5</v>
      </c>
      <c r="E47" s="283">
        <f t="shared" si="10"/>
        <v>-8.1314934252075673E-5</v>
      </c>
      <c r="F47" s="283">
        <f t="shared" si="10"/>
        <v>-1.359802838143643E-4</v>
      </c>
      <c r="G47" s="283">
        <f t="shared" si="10"/>
        <v>-2.5413701909443874E-4</v>
      </c>
      <c r="H47" s="283">
        <f t="shared" si="10"/>
        <v>-2.4460100326579567E-4</v>
      </c>
      <c r="I47" s="194"/>
      <c r="J47" s="284">
        <f>AVERAGE(D74:INDEX(D74:H74,0,MATCH(Data!$B$3,$D$7:$H$7,0)))/AVERAGE($D$91:INDEX($D$91:$H$91,0,MATCH(Data!$B$3,$D$7:$H$7,0)))</f>
        <v>-8.6368232805061318E-5</v>
      </c>
      <c r="K47" s="285">
        <f t="shared" si="11"/>
        <v>-1.5503998176533344E-4</v>
      </c>
    </row>
    <row r="48" spans="2:13">
      <c r="B48" s="369" t="str">
        <f>ET!B48</f>
        <v>Carry-over Network innovation input for RORE</v>
      </c>
      <c r="C48" s="370" t="s">
        <v>163</v>
      </c>
      <c r="D48" s="282">
        <f t="shared" ref="D48:H48" si="12">D75/D$91</f>
        <v>-1.128683629710785E-5</v>
      </c>
      <c r="E48" s="283">
        <f t="shared" si="12"/>
        <v>0</v>
      </c>
      <c r="F48" s="283">
        <f t="shared" si="12"/>
        <v>0</v>
      </c>
      <c r="G48" s="283">
        <f t="shared" si="12"/>
        <v>0</v>
      </c>
      <c r="H48" s="283">
        <f t="shared" si="12"/>
        <v>0</v>
      </c>
      <c r="I48" s="194"/>
      <c r="J48" s="284">
        <f>AVERAGE(D75:INDEX(D75:H75,0,MATCH(Data!$B$3,$D$7:$H$7,0)))/AVERAGE($D$91:INDEX($D$91:$H$91,0,MATCH(Data!$B$3,$D$7:$H$7,0)))</f>
        <v>-3.553758100068651E-6</v>
      </c>
      <c r="K48" s="285">
        <f t="shared" ref="K48:K49" si="13">AVERAGE(D75:H75)/AVERAGE($D$91:$H$91)</f>
        <v>-2.0551463577755912E-6</v>
      </c>
    </row>
    <row r="49" spans="2:12">
      <c r="B49" s="369" t="str">
        <f>ET!B49</f>
        <v>Strategic innovation input for RORE</v>
      </c>
      <c r="C49" s="370" t="s">
        <v>163</v>
      </c>
      <c r="D49" s="282">
        <f t="shared" ref="D49:H49" si="14">D76/D$91</f>
        <v>0</v>
      </c>
      <c r="E49" s="283">
        <f t="shared" si="14"/>
        <v>-1.3745841175938073E-5</v>
      </c>
      <c r="F49" s="283">
        <f t="shared" si="14"/>
        <v>-2.4431384441871963E-5</v>
      </c>
      <c r="G49" s="283">
        <f t="shared" si="14"/>
        <v>-1.5652712557621917E-6</v>
      </c>
      <c r="H49" s="283">
        <f t="shared" si="14"/>
        <v>0</v>
      </c>
      <c r="I49" s="194"/>
      <c r="J49" s="284">
        <f>AVERAGE(D76:INDEX(D76:H76,0,MATCH(Data!$B$3,$D$7:$H$7,0)))/AVERAGE($D$91:INDEX($D$91:$H$91,0,MATCH(Data!$B$3,$D$7:$H$7,0)))</f>
        <v>-1.3149277992504385E-5</v>
      </c>
      <c r="K49" s="285">
        <f t="shared" si="13"/>
        <v>-7.9235727094753234E-6</v>
      </c>
    </row>
    <row r="50" spans="2:12">
      <c r="B50" s="369" t="str">
        <f>ET!B50</f>
        <v/>
      </c>
      <c r="C50" s="370" t="s">
        <v>163</v>
      </c>
      <c r="D50" s="460"/>
      <c r="E50" s="461"/>
      <c r="F50" s="461"/>
      <c r="G50" s="461"/>
      <c r="H50" s="461"/>
      <c r="I50" s="194"/>
      <c r="J50" s="466"/>
      <c r="K50" s="467"/>
    </row>
    <row r="51" spans="2:12">
      <c r="B51" s="369" t="str">
        <f>ET!B51</f>
        <v/>
      </c>
      <c r="C51" s="370" t="s">
        <v>163</v>
      </c>
      <c r="D51" s="460"/>
      <c r="E51" s="461"/>
      <c r="F51" s="461"/>
      <c r="G51" s="461"/>
      <c r="H51" s="461"/>
      <c r="I51" s="194"/>
      <c r="J51" s="466"/>
      <c r="K51" s="467"/>
    </row>
    <row r="52" spans="2:12">
      <c r="B52" s="369" t="str">
        <f>ET!B52</f>
        <v/>
      </c>
      <c r="C52" s="370" t="s">
        <v>163</v>
      </c>
      <c r="D52" s="460"/>
      <c r="E52" s="461"/>
      <c r="F52" s="461"/>
      <c r="G52" s="461"/>
      <c r="H52" s="461"/>
      <c r="I52" s="194"/>
      <c r="J52" s="466"/>
      <c r="K52" s="467"/>
    </row>
    <row r="53" spans="2:12">
      <c r="B53" s="369" t="str">
        <f>ET!B53</f>
        <v/>
      </c>
      <c r="C53" s="370" t="s">
        <v>163</v>
      </c>
      <c r="D53" s="460"/>
      <c r="E53" s="461"/>
      <c r="F53" s="461"/>
      <c r="G53" s="461"/>
      <c r="H53" s="461"/>
      <c r="I53" s="194"/>
      <c r="J53" s="466"/>
      <c r="K53" s="467"/>
    </row>
    <row r="54" spans="2:12">
      <c r="B54" s="369" t="str">
        <f>ET!B54</f>
        <v/>
      </c>
      <c r="C54" s="370" t="s">
        <v>163</v>
      </c>
      <c r="D54" s="460"/>
      <c r="E54" s="461"/>
      <c r="F54" s="461"/>
      <c r="G54" s="461"/>
      <c r="H54" s="461"/>
      <c r="I54" s="194"/>
      <c r="J54" s="466"/>
      <c r="K54" s="467"/>
    </row>
    <row r="55" spans="2:12">
      <c r="B55" s="369" t="str">
        <f>ET!B55</f>
        <v>Penalties and fines (Other Activities)</v>
      </c>
      <c r="C55" s="370" t="s">
        <v>163</v>
      </c>
      <c r="D55" s="460"/>
      <c r="E55" s="461"/>
      <c r="F55" s="461"/>
      <c r="G55" s="461"/>
      <c r="H55" s="461"/>
      <c r="I55" s="194"/>
      <c r="J55" s="466"/>
      <c r="K55" s="467"/>
    </row>
    <row r="56" spans="2:12">
      <c r="B56" s="372" t="str">
        <f>ET!B56</f>
        <v>RoRE - Operational performance</v>
      </c>
      <c r="C56" s="370" t="s">
        <v>163</v>
      </c>
      <c r="D56" s="324">
        <f>SUM(D38:D55)</f>
        <v>4.821589600117767E-2</v>
      </c>
      <c r="E56" s="324">
        <f t="shared" ref="E56:H56" si="15">SUM(E38:E55)</f>
        <v>4.5092981903676777E-2</v>
      </c>
      <c r="F56" s="324">
        <f t="shared" si="15"/>
        <v>5.1766260711635328E-2</v>
      </c>
      <c r="G56" s="324">
        <f t="shared" si="15"/>
        <v>6.3969982864746547E-2</v>
      </c>
      <c r="H56" s="324">
        <f t="shared" si="15"/>
        <v>6.6710553881719897E-2</v>
      </c>
      <c r="I56" s="287"/>
      <c r="J56" s="151">
        <f>SUM(J38:J55)</f>
        <v>4.8406593737763515E-2</v>
      </c>
      <c r="K56" s="323">
        <f>SUM(K38:K55)</f>
        <v>5.5566255560964395E-2</v>
      </c>
    </row>
    <row r="57" spans="2:12">
      <c r="B57" s="369" t="str">
        <f>ET!B57</f>
        <v>Debt performance - at actual gearing</v>
      </c>
      <c r="C57" s="370" t="s">
        <v>163</v>
      </c>
      <c r="D57" s="282">
        <f>(D84+D85)/D$91</f>
        <v>2.9633873785534569E-2</v>
      </c>
      <c r="E57" s="283">
        <f t="shared" ref="E57:H57" si="16">(E84+E85)/E$91</f>
        <v>4.9299776794005407E-2</v>
      </c>
      <c r="F57" s="283">
        <f t="shared" si="16"/>
        <v>3.4011046403279753E-2</v>
      </c>
      <c r="G57" s="283">
        <f t="shared" si="16"/>
        <v>7.2903633761242119E-3</v>
      </c>
      <c r="H57" s="283">
        <f t="shared" si="16"/>
        <v>-2.6456675311416615E-3</v>
      </c>
      <c r="I57" s="194"/>
      <c r="J57" s="284">
        <f>(AVERAGE(D84:INDEX(D84:H84,0,MATCH(Data!$B$3,$D$7:$H$7,0)))+AVERAGE(D85:INDEX(D85:H85,0,MATCH(Data!$B$3,$D$7:$H$7,0))))/AVERAGE($D$91:INDEX($D$91:$H$91,0,MATCH(Data!$B$3,$D$7:$H$7,0)))</f>
        <v>3.776891201578942E-2</v>
      </c>
      <c r="K57" s="285">
        <f>(AVERAGE(D84:H84)+AVERAGE(D85:H85))/AVERAGE($D$91:$H$91)</f>
        <v>2.275312648104692E-2</v>
      </c>
    </row>
    <row r="58" spans="2:12">
      <c r="B58" s="369" t="str">
        <f>ET!B58</f>
        <v>Tax performance - at actual gearing</v>
      </c>
      <c r="C58" s="370" t="s">
        <v>163</v>
      </c>
      <c r="D58" s="282">
        <f>(D86+D87)/D$91</f>
        <v>-4.4342493697113663E-4</v>
      </c>
      <c r="E58" s="283">
        <f t="shared" ref="E58:H58" si="17">(E86+E87)/E$91</f>
        <v>3.1423532726702901E-3</v>
      </c>
      <c r="F58" s="283">
        <f t="shared" si="17"/>
        <v>1.5751146692093781E-3</v>
      </c>
      <c r="G58" s="283">
        <f t="shared" si="17"/>
        <v>-3.0505341809228216E-4</v>
      </c>
      <c r="H58" s="283">
        <f t="shared" si="17"/>
        <v>-1.185370944047833E-3</v>
      </c>
      <c r="I58" s="194"/>
      <c r="J58" s="284">
        <f>(AVERAGE(D86:INDEX(D86:H86,0,MATCH(Data!$B$3,$D$7:$H$7,0)))+AVERAGE(D87:INDEX(D87:H87,0,MATCH(Data!$B$3,$D$7:$H$7,0))))/AVERAGE($D$91:INDEX($D$91:$H$91,0,MATCH(Data!$B$3,$D$7:$H$7,0)))</f>
        <v>1.4660540605478084E-3</v>
      </c>
      <c r="K58" s="285">
        <f>(AVERAGE(D86:H86)+AVERAGE(D87:H87))/AVERAGE($D$91:$H$91)</f>
        <v>5.2753898938478984E-4</v>
      </c>
    </row>
    <row r="59" spans="2:12">
      <c r="B59" s="372" t="str">
        <f>ET!B59</f>
        <v>RoRE - including financing and tax</v>
      </c>
      <c r="C59" s="370" t="s">
        <v>163</v>
      </c>
      <c r="D59" s="151">
        <f>SUM(D56:D58)</f>
        <v>7.7406344849741099E-2</v>
      </c>
      <c r="E59" s="325">
        <f t="shared" ref="E59:H59" si="18">SUM(E56:E58)</f>
        <v>9.7535111970352473E-2</v>
      </c>
      <c r="F59" s="325">
        <f t="shared" si="18"/>
        <v>8.7352421784124459E-2</v>
      </c>
      <c r="G59" s="325">
        <f t="shared" si="18"/>
        <v>7.0955292822778473E-2</v>
      </c>
      <c r="H59" s="325">
        <f t="shared" si="18"/>
        <v>6.2879515406530403E-2</v>
      </c>
      <c r="I59" s="287"/>
      <c r="J59" s="151">
        <f>SUM(J56:J58)</f>
        <v>8.7641559814100739E-2</v>
      </c>
      <c r="K59" s="323">
        <f>SUM(K56:K58)</f>
        <v>7.8846921031396108E-2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tr">
        <f>ET!B62</f>
        <v>RoRE input values</v>
      </c>
      <c r="C62" s="379"/>
      <c r="D62" s="380"/>
      <c r="E62" s="380"/>
      <c r="F62" s="380"/>
      <c r="G62" s="380"/>
      <c r="H62" s="380"/>
      <c r="I62" s="381"/>
      <c r="J62" s="380"/>
      <c r="K62" s="380"/>
      <c r="L62" s="367"/>
    </row>
    <row r="63" spans="2:12">
      <c r="B63" s="382" t="str">
        <f>ET!B63</f>
        <v>Input values provided in £m 18/19 prices</v>
      </c>
      <c r="C63" s="383"/>
      <c r="D63" s="383"/>
      <c r="E63" s="383"/>
      <c r="F63" s="383"/>
      <c r="G63" s="383"/>
      <c r="H63" s="383"/>
      <c r="I63" s="383"/>
      <c r="J63" s="383"/>
      <c r="K63" s="383"/>
      <c r="L63" s="383"/>
    </row>
    <row r="65" spans="2:11">
      <c r="B65" s="308" t="str">
        <f>ET!B65</f>
        <v>Equity Return on the RAV</v>
      </c>
      <c r="C65" s="384" t="str">
        <f>ET!C65</f>
        <v>£m 18/19</v>
      </c>
      <c r="D65" s="385">
        <v>263.84896570833433</v>
      </c>
      <c r="E65" s="385">
        <v>268.33745315955093</v>
      </c>
      <c r="F65" s="385">
        <v>315.34426051310055</v>
      </c>
      <c r="G65" s="385">
        <v>357.73720405917885</v>
      </c>
      <c r="H65" s="385">
        <v>395.57419707149512</v>
      </c>
      <c r="J65" s="385">
        <v>847.53067938098593</v>
      </c>
      <c r="K65" s="385">
        <v>1600.8420805116598</v>
      </c>
    </row>
    <row r="66" spans="2:11">
      <c r="B66" s="308" t="str">
        <f>ET!B66</f>
        <v>Totex outperformance</v>
      </c>
      <c r="C66" s="384" t="str">
        <f>ET!C66</f>
        <v>£m 18/19</v>
      </c>
      <c r="D66" s="385">
        <v>51.516952754878062</v>
      </c>
      <c r="E66" s="385">
        <v>49.398861063558883</v>
      </c>
      <c r="F66" s="385">
        <v>62.874690370610011</v>
      </c>
      <c r="G66" s="385">
        <v>117.66776024983611</v>
      </c>
      <c r="H66" s="385">
        <v>131.73347565796328</v>
      </c>
      <c r="J66" s="385">
        <v>163.79050418904694</v>
      </c>
      <c r="K66" s="385">
        <v>413.19174009684627</v>
      </c>
    </row>
    <row r="67" spans="2:11">
      <c r="B67" s="308" t="str">
        <f>ET!B67</f>
        <v>Business Plan Incentive</v>
      </c>
      <c r="C67" s="384" t="str">
        <f>ET!C67</f>
        <v>£m 18/19</v>
      </c>
      <c r="D67" s="385">
        <v>-13</v>
      </c>
      <c r="E67" s="385">
        <v>-13</v>
      </c>
      <c r="F67" s="385">
        <v>-13</v>
      </c>
      <c r="G67" s="385">
        <v>-13</v>
      </c>
      <c r="H67" s="385">
        <v>-13</v>
      </c>
      <c r="J67" s="385">
        <v>-39</v>
      </c>
      <c r="K67" s="385">
        <v>-65</v>
      </c>
    </row>
    <row r="68" spans="2:11">
      <c r="B68" s="308" t="str">
        <f>ET!B68</f>
        <v xml:space="preserve">Energy not supplied ODI </v>
      </c>
      <c r="C68" s="384" t="str">
        <f>ET!C68</f>
        <v>£m 18/19</v>
      </c>
      <c r="D68" s="385">
        <v>0.83399659199999998</v>
      </c>
      <c r="E68" s="385">
        <v>0.98304835200000018</v>
      </c>
      <c r="F68" s="385">
        <v>1.01909808</v>
      </c>
      <c r="G68" s="385">
        <v>0.94561209600000007</v>
      </c>
      <c r="H68" s="385">
        <v>0.94561209600000007</v>
      </c>
      <c r="J68" s="385">
        <v>2.8361430240000001</v>
      </c>
      <c r="K68" s="385">
        <v>4.7273672160000002</v>
      </c>
    </row>
    <row r="69" spans="2:11">
      <c r="B69" s="308" t="str">
        <f>ET!B69</f>
        <v xml:space="preserve">Insulation And Interruption Gas emissions ODI </v>
      </c>
      <c r="C69" s="384" t="str">
        <f>ET!C69</f>
        <v>£m 18/19</v>
      </c>
      <c r="D69" s="385">
        <v>1.633338888665322</v>
      </c>
      <c r="E69" s="385">
        <v>1.7221525100307398</v>
      </c>
      <c r="F69" s="385">
        <v>0.22035063905533145</v>
      </c>
      <c r="G69" s="385">
        <v>0.55729691812055071</v>
      </c>
      <c r="H69" s="385">
        <v>0.70034844864686174</v>
      </c>
      <c r="J69" s="385">
        <v>3.5758420377513933</v>
      </c>
      <c r="K69" s="385">
        <v>4.8334874045188059</v>
      </c>
    </row>
    <row r="70" spans="2:11">
      <c r="B70" s="308" t="str">
        <f>ET!B70</f>
        <v xml:space="preserve">Timely Connections ODI </v>
      </c>
      <c r="C70" s="384" t="str">
        <f>ET!C70</f>
        <v>£m 18/19</v>
      </c>
      <c r="D70" s="385">
        <v>-0.26270833333333332</v>
      </c>
      <c r="E70" s="385">
        <v>-0.17785824345146381</v>
      </c>
      <c r="F70" s="385">
        <v>-1.7989090909090909E-2</v>
      </c>
      <c r="G70" s="385">
        <v>-0.10848684210526313</v>
      </c>
      <c r="H70" s="385">
        <v>-0.10848684210526313</v>
      </c>
      <c r="J70" s="385">
        <v>-0.45855566769388806</v>
      </c>
      <c r="K70" s="385">
        <v>-0.67552935190441432</v>
      </c>
    </row>
    <row r="71" spans="2:11">
      <c r="B71" s="308" t="str">
        <f>ET!B71</f>
        <v xml:space="preserve">Quality of connections satisfaction survey ODI </v>
      </c>
      <c r="C71" s="384" t="str">
        <f>ET!C71</f>
        <v>£m 18/19</v>
      </c>
      <c r="D71" s="385">
        <v>0.2353260416666656</v>
      </c>
      <c r="E71" s="385">
        <v>-3.2701118385160948</v>
      </c>
      <c r="F71" s="385">
        <v>-2.987022332506208</v>
      </c>
      <c r="G71" s="385">
        <v>-8.0764431739431775</v>
      </c>
      <c r="H71" s="385">
        <v>-8.0764431739431775</v>
      </c>
      <c r="J71" s="385">
        <v>-6.0218081293556374</v>
      </c>
      <c r="K71" s="385">
        <v>-22.174694477241992</v>
      </c>
    </row>
    <row r="72" spans="2:11">
      <c r="B72" s="308" t="str">
        <f>ET!B72</f>
        <v>SO-TO Optimisation ODI</v>
      </c>
      <c r="C72" s="384" t="str">
        <f>ET!C72</f>
        <v>£m 18/19</v>
      </c>
      <c r="D72" s="385">
        <v>5</v>
      </c>
      <c r="E72" s="385">
        <v>5</v>
      </c>
      <c r="F72" s="385">
        <v>5.8556288707845923</v>
      </c>
      <c r="G72" s="385">
        <v>5.8556288707845923</v>
      </c>
      <c r="H72" s="385">
        <v>5.8556288707845923</v>
      </c>
      <c r="J72" s="385">
        <v>15.855628870784592</v>
      </c>
      <c r="K72" s="385">
        <v>27.566886612353777</v>
      </c>
    </row>
    <row r="73" spans="2:11">
      <c r="B73" s="308" t="str">
        <f>ET!B73</f>
        <v xml:space="preserve">Environmental scorecard ODI </v>
      </c>
      <c r="C73" s="384" t="str">
        <f>ET!C73</f>
        <v>£m 18/19</v>
      </c>
      <c r="D73" s="385">
        <v>0.51351564000000005</v>
      </c>
      <c r="E73" s="385">
        <v>0.99994537500000014</v>
      </c>
      <c r="F73" s="385">
        <v>0.97957051500000025</v>
      </c>
      <c r="G73" s="385">
        <v>1.0739003550000001</v>
      </c>
      <c r="H73" s="385">
        <v>1.0749490949999991</v>
      </c>
      <c r="J73" s="385">
        <v>2.4930315300000006</v>
      </c>
      <c r="K73" s="385">
        <v>4.6418809799999998</v>
      </c>
    </row>
    <row r="74" spans="2:11">
      <c r="B74" s="308" t="str">
        <f>ET!B74</f>
        <v>Network innovation input for RORE</v>
      </c>
      <c r="C74" s="384" t="str">
        <f>ET!C74</f>
        <v>£m 18/19</v>
      </c>
      <c r="D74" s="385">
        <v>-0.23619919814420759</v>
      </c>
      <c r="E74" s="385">
        <v>-0.5578267788157264</v>
      </c>
      <c r="F74" s="385">
        <v>-0.96967406002749768</v>
      </c>
      <c r="G74" s="385">
        <v>-1.8306868967180669</v>
      </c>
      <c r="H74" s="385">
        <v>-1.880302730742647</v>
      </c>
      <c r="J74" s="385">
        <v>-1.7637000369874318</v>
      </c>
      <c r="K74" s="385">
        <v>-5.474689664448146</v>
      </c>
    </row>
    <row r="75" spans="2:11">
      <c r="B75" s="308" t="str">
        <f>ET!B75</f>
        <v>Carry-over Network innovation input for RORE</v>
      </c>
      <c r="C75" s="384" t="str">
        <f>ET!C75</f>
        <v>£m 18/19</v>
      </c>
      <c r="D75" s="385">
        <v>-7.2570238952118102E-2</v>
      </c>
      <c r="E75" s="385">
        <v>0</v>
      </c>
      <c r="F75" s="385">
        <v>0</v>
      </c>
      <c r="G75" s="385">
        <v>0</v>
      </c>
      <c r="H75" s="385">
        <v>0</v>
      </c>
      <c r="J75" s="385">
        <v>-7.2570238952118102E-2</v>
      </c>
      <c r="K75" s="385">
        <v>-7.2570238952118102E-2</v>
      </c>
    </row>
    <row r="76" spans="2:11">
      <c r="B76" s="308" t="str">
        <f>ET!B76</f>
        <v>Strategic innovation input for RORE</v>
      </c>
      <c r="C76" s="384" t="str">
        <f>ET!C76</f>
        <v>£m 18/19</v>
      </c>
      <c r="D76" s="385">
        <v>0</v>
      </c>
      <c r="E76" s="385">
        <v>-9.4297540492574161E-2</v>
      </c>
      <c r="F76" s="385">
        <v>-0.17421996100687709</v>
      </c>
      <c r="G76" s="385">
        <v>-1.1275498500548771E-2</v>
      </c>
      <c r="H76" s="385">
        <v>0</v>
      </c>
      <c r="J76" s="385">
        <v>-0.26851750149945125</v>
      </c>
      <c r="K76" s="385">
        <v>-0.27979300000000001</v>
      </c>
    </row>
    <row r="77" spans="2:11">
      <c r="B77" s="308" t="str">
        <f>ET!B77</f>
        <v/>
      </c>
      <c r="C77" s="384" t="str">
        <f>ET!C77</f>
        <v>£m 18/19</v>
      </c>
      <c r="D77" s="385">
        <v>0</v>
      </c>
      <c r="E77" s="385">
        <v>0</v>
      </c>
      <c r="F77" s="385">
        <v>0</v>
      </c>
      <c r="G77" s="385">
        <v>0</v>
      </c>
      <c r="H77" s="385">
        <v>0</v>
      </c>
      <c r="J77" s="385">
        <v>0</v>
      </c>
      <c r="K77" s="385">
        <v>0</v>
      </c>
    </row>
    <row r="78" spans="2:11">
      <c r="B78" s="308" t="str">
        <f>ET!B78</f>
        <v/>
      </c>
      <c r="C78" s="384" t="str">
        <f>ET!C78</f>
        <v>£m 18/19</v>
      </c>
      <c r="D78" s="385">
        <v>0</v>
      </c>
      <c r="E78" s="385">
        <v>0</v>
      </c>
      <c r="F78" s="385">
        <v>0</v>
      </c>
      <c r="G78" s="385">
        <v>0</v>
      </c>
      <c r="H78" s="385">
        <v>0</v>
      </c>
      <c r="J78" s="385">
        <v>0</v>
      </c>
      <c r="K78" s="385">
        <v>0</v>
      </c>
    </row>
    <row r="79" spans="2:11">
      <c r="B79" s="308" t="str">
        <f>ET!B79</f>
        <v/>
      </c>
      <c r="C79" s="384" t="str">
        <f>ET!C79</f>
        <v>£m 18/19</v>
      </c>
      <c r="D79" s="385">
        <v>0</v>
      </c>
      <c r="E79" s="385">
        <v>0</v>
      </c>
      <c r="F79" s="385">
        <v>0</v>
      </c>
      <c r="G79" s="385">
        <v>0</v>
      </c>
      <c r="H79" s="385">
        <v>0</v>
      </c>
      <c r="J79" s="385">
        <v>0</v>
      </c>
      <c r="K79" s="385">
        <v>0</v>
      </c>
    </row>
    <row r="80" spans="2:11">
      <c r="B80" s="308" t="str">
        <f>ET!B80</f>
        <v/>
      </c>
      <c r="C80" s="384" t="str">
        <f>ET!C80</f>
        <v>£m 18/19</v>
      </c>
      <c r="D80" s="385">
        <v>0</v>
      </c>
      <c r="E80" s="385">
        <v>0</v>
      </c>
      <c r="F80" s="385">
        <v>0</v>
      </c>
      <c r="G80" s="385">
        <v>0</v>
      </c>
      <c r="H80" s="385">
        <v>0</v>
      </c>
      <c r="J80" s="385">
        <v>0</v>
      </c>
      <c r="K80" s="385">
        <v>0</v>
      </c>
    </row>
    <row r="81" spans="2:12">
      <c r="B81" s="308" t="str">
        <f>ET!B81</f>
        <v/>
      </c>
      <c r="C81" s="384" t="str">
        <f>ET!C81</f>
        <v>£m 18/19</v>
      </c>
      <c r="D81" s="385">
        <v>0</v>
      </c>
      <c r="E81" s="385">
        <v>0</v>
      </c>
      <c r="F81" s="385">
        <v>0</v>
      </c>
      <c r="G81" s="385">
        <v>0</v>
      </c>
      <c r="H81" s="385">
        <v>0</v>
      </c>
      <c r="J81" s="385">
        <v>0</v>
      </c>
      <c r="K81" s="385">
        <v>0</v>
      </c>
    </row>
    <row r="82" spans="2:12">
      <c r="B82" s="308" t="str">
        <f>ET!B82</f>
        <v>Penalties and fines (Other Activities)</v>
      </c>
      <c r="C82" s="384" t="str">
        <f>ET!C82</f>
        <v>£m 18/19</v>
      </c>
      <c r="D82" s="385">
        <v>0</v>
      </c>
      <c r="E82" s="385">
        <v>0</v>
      </c>
      <c r="F82" s="385">
        <v>0</v>
      </c>
      <c r="G82" s="385">
        <v>0</v>
      </c>
      <c r="H82" s="385">
        <v>0</v>
      </c>
      <c r="J82" s="385">
        <v>0</v>
      </c>
      <c r="K82" s="385">
        <v>0</v>
      </c>
    </row>
    <row r="83" spans="2:12">
      <c r="B83" s="306" t="str">
        <f>ET!B83</f>
        <v>RoRE - Operational performance</v>
      </c>
      <c r="C83" s="384" t="str">
        <f>ET!C83</f>
        <v>£m 18/19</v>
      </c>
      <c r="D83" s="387">
        <v>310.01061785511473</v>
      </c>
      <c r="E83" s="387">
        <v>309.34136605886476</v>
      </c>
      <c r="F83" s="387">
        <v>369.14469354410073</v>
      </c>
      <c r="G83" s="387">
        <v>460.81051013765301</v>
      </c>
      <c r="H83" s="387">
        <v>512.81897849309883</v>
      </c>
      <c r="I83" s="177"/>
      <c r="J83" s="387">
        <v>988.49667745808028</v>
      </c>
      <c r="K83" s="387">
        <v>1962.1261660888322</v>
      </c>
    </row>
    <row r="84" spans="2:12">
      <c r="B84" s="308" t="str">
        <f>ET!B84</f>
        <v>Debt performance - at notional gearing</v>
      </c>
      <c r="C84" s="384" t="str">
        <f>ET!C84</f>
        <v>£m 18/19</v>
      </c>
      <c r="D84" s="385">
        <v>191.53544998439392</v>
      </c>
      <c r="E84" s="385">
        <v>353.36647623758984</v>
      </c>
      <c r="F84" s="385">
        <v>251.6345156969075</v>
      </c>
      <c r="G84" s="385">
        <v>47.487023242685609</v>
      </c>
      <c r="H84" s="385">
        <v>-20.826789511555056</v>
      </c>
      <c r="J84" s="385">
        <v>796.53644191889134</v>
      </c>
      <c r="K84" s="385">
        <v>823.19667565002192</v>
      </c>
    </row>
    <row r="85" spans="2:12">
      <c r="B85" s="308" t="str">
        <f>ET!B85</f>
        <v>Debt performance - impact of actual gearing</v>
      </c>
      <c r="C85" s="384" t="str">
        <f>ET!C85</f>
        <v>£m 18/19</v>
      </c>
      <c r="D85" s="385">
        <v>-1.0004546071500613</v>
      </c>
      <c r="E85" s="385">
        <v>-15.166169759049694</v>
      </c>
      <c r="F85" s="385">
        <v>-9.1020799161837544</v>
      </c>
      <c r="G85" s="385">
        <v>5.0294214395599823</v>
      </c>
      <c r="H85" s="385">
        <v>0.48895026713824663</v>
      </c>
      <c r="J85" s="385">
        <v>-25.26870428238351</v>
      </c>
      <c r="K85" s="385">
        <v>-19.750332575685281</v>
      </c>
    </row>
    <row r="86" spans="2:12">
      <c r="B86" s="308" t="str">
        <f>ET!B86</f>
        <v>Tax performance - at notional gearing</v>
      </c>
      <c r="C86" s="384" t="str">
        <f>ET!C86</f>
        <v>£m 18/19</v>
      </c>
      <c r="D86" s="385">
        <v>-3.0411469193631291</v>
      </c>
      <c r="E86" s="385">
        <v>18.675215808361813</v>
      </c>
      <c r="F86" s="385">
        <v>8.9566071606959596</v>
      </c>
      <c r="G86" s="385">
        <v>-0.94010999675319962</v>
      </c>
      <c r="H86" s="385">
        <v>-8.9899745389611496</v>
      </c>
      <c r="J86" s="385">
        <v>24.590676049694643</v>
      </c>
      <c r="K86" s="385">
        <v>14.660591513980293</v>
      </c>
    </row>
    <row r="87" spans="2:12">
      <c r="B87" s="308" t="str">
        <f>ET!B87</f>
        <v>Tax performance - impact of actual gearing</v>
      </c>
      <c r="C87" s="384" t="str">
        <f>ET!C87</f>
        <v>£m 18/19</v>
      </c>
      <c r="D87" s="385">
        <v>0.19008637535851847</v>
      </c>
      <c r="E87" s="385">
        <v>2.8815722542194351</v>
      </c>
      <c r="F87" s="385">
        <v>2.2755199790459351</v>
      </c>
      <c r="G87" s="385">
        <v>-1.2573553598899947</v>
      </c>
      <c r="H87" s="385">
        <v>-0.12223756678456255</v>
      </c>
      <c r="J87" s="385">
        <v>5.3471786086238886</v>
      </c>
      <c r="K87" s="385">
        <v>3.9675856819493314</v>
      </c>
    </row>
    <row r="88" spans="2:12">
      <c r="B88" s="306" t="str">
        <f>ET!B88</f>
        <v>RoRE - including financing and tax</v>
      </c>
      <c r="C88" s="384" t="str">
        <f>ET!C88</f>
        <v>£m 18/19</v>
      </c>
      <c r="D88" s="387">
        <v>497.69455268835395</v>
      </c>
      <c r="E88" s="387">
        <v>669.0984605999862</v>
      </c>
      <c r="F88" s="387">
        <v>622.90925646456628</v>
      </c>
      <c r="G88" s="387">
        <v>511.12948946325537</v>
      </c>
      <c r="H88" s="387">
        <v>483.36892714293634</v>
      </c>
      <c r="I88" s="177"/>
      <c r="J88" s="387">
        <v>1789.7022697529064</v>
      </c>
      <c r="K88" s="387">
        <v>2784.2006863590987</v>
      </c>
    </row>
    <row r="89" spans="2:12">
      <c r="C89" s="388"/>
      <c r="D89" s="390"/>
    </row>
    <row r="90" spans="2:12">
      <c r="B90" s="308" t="str">
        <f>ET!B90</f>
        <v>NPV-neutral equity element of RAV</v>
      </c>
      <c r="C90" s="384" t="str">
        <f>ET!C90</f>
        <v>£m 18/19</v>
      </c>
      <c r="D90" s="385">
        <v>6217.0684843914105</v>
      </c>
      <c r="E90" s="385">
        <v>6296.6225238122315</v>
      </c>
      <c r="F90" s="385">
        <v>6422.9035152231418</v>
      </c>
      <c r="G90" s="385">
        <v>6878.0381016898191</v>
      </c>
      <c r="H90" s="385">
        <v>7667.7613193426441</v>
      </c>
    </row>
    <row r="91" spans="2:12">
      <c r="B91" s="308" t="str">
        <f>ET!B91</f>
        <v>Equity RAV based on actual gearing</v>
      </c>
      <c r="C91" s="384" t="str">
        <f>ET!C91</f>
        <v>£m 18/19</v>
      </c>
      <c r="D91" s="385">
        <v>6429.6351113654027</v>
      </c>
      <c r="E91" s="385">
        <v>6860.0778435910388</v>
      </c>
      <c r="F91" s="385">
        <v>7130.9901172971813</v>
      </c>
      <c r="G91" s="385">
        <v>7203.5428102576961</v>
      </c>
      <c r="H91" s="385">
        <v>7687.2241145283288</v>
      </c>
    </row>
    <row r="94" spans="2:12">
      <c r="B94" s="306" t="s">
        <v>207</v>
      </c>
      <c r="D94" s="307" t="str">
        <f>ET!D94</f>
        <v>Actuals</v>
      </c>
      <c r="E94" s="307" t="str">
        <f>ET!E94</f>
        <v>Actuals</v>
      </c>
      <c r="F94" s="307" t="str">
        <f>ET!F94</f>
        <v>Actuals</v>
      </c>
      <c r="G94" s="307" t="str">
        <f>ET!G94</f>
        <v>Actuals</v>
      </c>
      <c r="H94" s="307" t="str">
        <f>ET!H94</f>
        <v>Actuals</v>
      </c>
    </row>
    <row r="95" spans="2:12" ht="22.8">
      <c r="D95" s="309">
        <f>ET!D95</f>
        <v>2022</v>
      </c>
      <c r="E95" s="309">
        <f>ET!E95</f>
        <v>2023</v>
      </c>
      <c r="F95" s="309">
        <f>ET!F95</f>
        <v>2024</v>
      </c>
      <c r="G95" s="309">
        <f>ET!G95</f>
        <v>2025</v>
      </c>
      <c r="H95" s="309">
        <f>ET!H95</f>
        <v>2026</v>
      </c>
      <c r="J95" s="310" t="str">
        <f>J7</f>
        <v>Cumulative to 2024</v>
      </c>
      <c r="K95" s="310" t="str">
        <f>ET!K95</f>
        <v>RIIO-2 period</v>
      </c>
    </row>
    <row r="96" spans="2:12">
      <c r="B96" s="308" t="s">
        <v>154</v>
      </c>
      <c r="C96" s="178" t="s">
        <v>178</v>
      </c>
      <c r="D96" s="326">
        <v>1288.387670712737</v>
      </c>
      <c r="E96" s="326">
        <v>1235.4163074118251</v>
      </c>
      <c r="F96" s="326">
        <v>1572.4333746759585</v>
      </c>
      <c r="G96" s="326">
        <v>2942.7534712234356</v>
      </c>
      <c r="H96" s="326">
        <v>3294.5230022710493</v>
      </c>
      <c r="I96" s="308"/>
      <c r="J96" s="326">
        <v>4096.237352800521</v>
      </c>
      <c r="K96" s="326">
        <v>10333.513826295006</v>
      </c>
      <c r="L96" s="308"/>
    </row>
    <row r="97" spans="2:12" ht="22.8">
      <c r="B97" s="312" t="s">
        <v>155</v>
      </c>
      <c r="C97" s="178" t="s">
        <v>178</v>
      </c>
      <c r="D97" s="326">
        <v>1700.5830836801026</v>
      </c>
      <c r="E97" s="326">
        <v>1718.8273558065168</v>
      </c>
      <c r="F97" s="326">
        <v>1900.8210650508959</v>
      </c>
      <c r="G97" s="326">
        <v>2894.9732675132718</v>
      </c>
      <c r="H97" s="326">
        <v>3118.876302310151</v>
      </c>
      <c r="I97" s="308"/>
      <c r="J97" s="326">
        <v>5320.2315045375153</v>
      </c>
      <c r="K97" s="326">
        <v>11334.081074360938</v>
      </c>
      <c r="L97" s="308"/>
    </row>
    <row r="98" spans="2:12">
      <c r="B98" s="306" t="s">
        <v>156</v>
      </c>
      <c r="C98" s="178" t="s">
        <v>178</v>
      </c>
      <c r="D98" s="326">
        <v>412.19541296736577</v>
      </c>
      <c r="E98" s="326">
        <v>483.41104839469165</v>
      </c>
      <c r="F98" s="326">
        <v>328.38769037493751</v>
      </c>
      <c r="G98" s="326">
        <v>-47.780203710163619</v>
      </c>
      <c r="H98" s="326">
        <v>-175.64669996089833</v>
      </c>
      <c r="I98" s="308"/>
      <c r="J98" s="326">
        <v>1223.9941517369948</v>
      </c>
      <c r="K98" s="326">
        <v>1000.5672480659332</v>
      </c>
      <c r="L98" s="308"/>
    </row>
    <row r="99" spans="2:12">
      <c r="B99" s="308" t="s">
        <v>157</v>
      </c>
      <c r="C99" s="178" t="s">
        <v>178</v>
      </c>
      <c r="D99" s="326">
        <v>-256.08343492228073</v>
      </c>
      <c r="E99" s="326">
        <v>-333.71753002027077</v>
      </c>
      <c r="F99" s="326">
        <v>-137.85832561551319</v>
      </c>
      <c r="G99" s="326">
        <v>404.34917416421246</v>
      </c>
      <c r="H99" s="326">
        <v>574.83905043957509</v>
      </c>
      <c r="I99" s="308"/>
      <c r="J99" s="326">
        <v>-727.65929055806464</v>
      </c>
      <c r="K99" s="326">
        <v>251.52893404572291</v>
      </c>
      <c r="L99" s="308"/>
    </row>
    <row r="100" spans="2:12">
      <c r="B100" s="306" t="s">
        <v>158</v>
      </c>
      <c r="C100" s="178" t="s">
        <v>178</v>
      </c>
      <c r="D100" s="303">
        <f>D98+D99</f>
        <v>156.11197804508504</v>
      </c>
      <c r="E100" s="303">
        <f t="shared" ref="E100:H100" si="19">E98+E99</f>
        <v>149.69351837442088</v>
      </c>
      <c r="F100" s="303">
        <f t="shared" si="19"/>
        <v>190.52936475942431</v>
      </c>
      <c r="G100" s="303">
        <f t="shared" si="19"/>
        <v>356.56897045404884</v>
      </c>
      <c r="H100" s="303">
        <f t="shared" si="19"/>
        <v>399.19235047867676</v>
      </c>
      <c r="I100" s="308"/>
      <c r="J100" s="303">
        <f>J98+J99</f>
        <v>496.33486117893017</v>
      </c>
      <c r="K100" s="303">
        <f>K98+K99</f>
        <v>1252.0961821116562</v>
      </c>
      <c r="L100" s="308"/>
    </row>
    <row r="101" spans="2:12">
      <c r="B101" s="306" t="s">
        <v>159</v>
      </c>
      <c r="C101" s="314" t="s">
        <v>163</v>
      </c>
      <c r="D101" s="151">
        <f>D100/D97</f>
        <v>9.1799089114337748E-2</v>
      </c>
      <c r="E101" s="151">
        <f>E100/E97</f>
        <v>8.7090491007563081E-2</v>
      </c>
      <c r="F101" s="151">
        <f t="shared" ref="F101:H101" si="20">F100/F97</f>
        <v>0.10023529739992794</v>
      </c>
      <c r="G101" s="151">
        <f t="shared" si="20"/>
        <v>0.12316831193413227</v>
      </c>
      <c r="H101" s="151">
        <f t="shared" si="20"/>
        <v>0.12799236384687493</v>
      </c>
      <c r="J101" s="151">
        <f>J100/J97</f>
        <v>9.3291966854377753E-2</v>
      </c>
      <c r="K101" s="151">
        <f>K100/K97</f>
        <v>0.11047178627864672</v>
      </c>
    </row>
    <row r="104" spans="2:12">
      <c r="K104" s="465"/>
    </row>
  </sheetData>
  <phoneticPr fontId="218" type="noConversion"/>
  <conditionalFormatting sqref="D6:G7 D94:G95">
    <cfRule type="expression" dxfId="30" priority="3">
      <formula>AND(D$6="Actuals",E$6="Forecast")</formula>
    </cfRule>
  </conditionalFormatting>
  <conditionalFormatting sqref="H6:H7 H94:H95">
    <cfRule type="expression" dxfId="29" priority="46">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sheetPr>
  <dimension ref="A1:M101"/>
  <sheetViews>
    <sheetView zoomScale="80" zoomScaleNormal="80" workbookViewId="0"/>
  </sheetViews>
  <sheetFormatPr defaultColWidth="9.26953125" defaultRowHeight="11.4"/>
  <cols>
    <col min="1" max="1" width="7.26953125" style="104" customWidth="1"/>
    <col min="2" max="2" width="66.26953125" style="308" bestFit="1" customWidth="1"/>
    <col min="3" max="3" width="8.6328125" style="104" bestFit="1" customWidth="1"/>
    <col min="4" max="8" width="9.08984375" style="104" customWidth="1"/>
    <col min="9" max="9" width="3.6328125" style="104" customWidth="1"/>
    <col min="10" max="11" width="13.7265625" style="104" customWidth="1"/>
    <col min="12" max="12" width="5.08984375" style="104" customWidth="1"/>
    <col min="13" max="16384" width="9.26953125" style="104"/>
  </cols>
  <sheetData>
    <row r="1" spans="1:13" s="41" customFormat="1" ht="57" customHeight="1"/>
    <row r="2" spans="1:13" customFormat="1" ht="21">
      <c r="A2" s="419" t="s">
        <v>162</v>
      </c>
      <c r="B2" s="71"/>
      <c r="C2" s="47"/>
      <c r="D2" s="47"/>
      <c r="E2" s="47"/>
      <c r="F2" s="47"/>
      <c r="G2" s="47"/>
      <c r="H2" s="47"/>
      <c r="I2" s="49"/>
      <c r="J2" s="49"/>
      <c r="K2" s="49"/>
      <c r="L2" s="50" t="s">
        <v>30</v>
      </c>
    </row>
    <row r="3" spans="1:13" customFormat="1" ht="21">
      <c r="A3" s="425" t="s">
        <v>19</v>
      </c>
      <c r="B3" s="1"/>
      <c r="C3" s="2"/>
      <c r="D3" s="2"/>
      <c r="E3" s="2"/>
      <c r="F3" s="2"/>
      <c r="G3" s="2"/>
      <c r="H3" s="2"/>
      <c r="I3" s="3"/>
      <c r="J3" s="3"/>
      <c r="K3" s="3"/>
      <c r="L3" s="72"/>
    </row>
    <row r="4" spans="1:13" customFormat="1" ht="21">
      <c r="A4" s="430">
        <f>Data!$B$3</f>
        <v>2024</v>
      </c>
      <c r="B4" s="4"/>
      <c r="C4" s="5"/>
      <c r="D4" s="5"/>
      <c r="E4" s="5"/>
      <c r="F4" s="5"/>
      <c r="G4" s="5"/>
      <c r="H4" s="5"/>
      <c r="I4" s="6"/>
      <c r="J4" s="6"/>
      <c r="K4" s="6"/>
      <c r="L4" s="7"/>
    </row>
    <row r="5" spans="1:13" customFormat="1" ht="12.75" customHeight="1">
      <c r="B5" s="8"/>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ET!B11</f>
        <v>Allowed Equity Return</v>
      </c>
      <c r="C11" s="370" t="s">
        <v>163</v>
      </c>
      <c r="D11" s="284">
        <f t="shared" ref="D11:H20" si="1">D65/D$90</f>
        <v>4.2439449777777784E-2</v>
      </c>
      <c r="E11" s="371">
        <f t="shared" si="1"/>
        <v>4.2616093333333334E-2</v>
      </c>
      <c r="F11" s="371">
        <f t="shared" si="1"/>
        <v>4.909683911111111E-2</v>
      </c>
      <c r="G11" s="371">
        <f t="shared" si="1"/>
        <v>5.2011518222222233E-2</v>
      </c>
      <c r="H11" s="371">
        <f t="shared" si="1"/>
        <v>5.1589268444444447E-2</v>
      </c>
      <c r="I11" s="194"/>
      <c r="J11" s="284">
        <f>AVERAGE(D65:INDEX(D65:H65,0,MATCH(Data!$B$3,$D$7:$H$7,0)))/AVERAGE($D$90:INDEX($D$90:$H$90,0,MATCH(Data!$B$3,$D$7:$H$7,0)))</f>
        <v>4.4820365685368589E-2</v>
      </c>
      <c r="K11" s="285">
        <f t="shared" ref="K11:K20" si="2">AVERAGE(D65:H65)/AVERAGE($D$90:$H$90)</f>
        <v>4.7986227575906849E-2</v>
      </c>
    </row>
    <row r="12" spans="1:13">
      <c r="B12" s="369" t="str">
        <f>ET!B12</f>
        <v>Totex outperformance</v>
      </c>
      <c r="C12" s="370" t="s">
        <v>163</v>
      </c>
      <c r="D12" s="282">
        <f t="shared" si="1"/>
        <v>0</v>
      </c>
      <c r="E12" s="283">
        <f t="shared" si="1"/>
        <v>0</v>
      </c>
      <c r="F12" s="283">
        <f t="shared" si="1"/>
        <v>0</v>
      </c>
      <c r="G12" s="283">
        <f t="shared" si="1"/>
        <v>0</v>
      </c>
      <c r="H12" s="283">
        <f t="shared" si="1"/>
        <v>0</v>
      </c>
      <c r="I12" s="194"/>
      <c r="J12" s="284">
        <f>AVERAGE(D66:INDEX(D66:H66,0,MATCH(Data!$B$3,$D$7:$H$7,0)))/AVERAGE($D$90:INDEX($D$90:$H$90,0,MATCH(Data!$B$3,$D$7:$H$7,0)))</f>
        <v>0</v>
      </c>
      <c r="K12" s="285">
        <f t="shared" si="2"/>
        <v>0</v>
      </c>
      <c r="M12" s="194"/>
    </row>
    <row r="13" spans="1:13">
      <c r="B13" s="369" t="str">
        <f>ET!B13</f>
        <v>Business Plan Incentive</v>
      </c>
      <c r="C13" s="370" t="s">
        <v>163</v>
      </c>
      <c r="D13" s="282">
        <f t="shared" si="1"/>
        <v>9.2830126159028153E-4</v>
      </c>
      <c r="E13" s="283">
        <f t="shared" si="1"/>
        <v>8.700161872145127E-4</v>
      </c>
      <c r="F13" s="283">
        <f t="shared" si="1"/>
        <v>8.3878590964457916E-4</v>
      </c>
      <c r="G13" s="283">
        <f t="shared" si="1"/>
        <v>7.5564903093448908E-4</v>
      </c>
      <c r="H13" s="283">
        <f t="shared" si="1"/>
        <v>6.5549844596970172E-4</v>
      </c>
      <c r="I13" s="194"/>
      <c r="J13" s="284">
        <f>AVERAGE(D67:INDEX(D67:H67,0,MATCH(Data!$B$3,$D$7:$H$7,0)))/AVERAGE($D$90:INDEX($D$90:$H$90,0,MATCH(Data!$B$3,$D$7:$H$7,0)))</f>
        <v>8.7749068014275947E-4</v>
      </c>
      <c r="K13" s="285">
        <f t="shared" si="2"/>
        <v>7.9773290077521548E-4</v>
      </c>
    </row>
    <row r="14" spans="1:13">
      <c r="B14" s="369" t="str">
        <f>ET!B14</f>
        <v xml:space="preserve">Energy not supplied ODI </v>
      </c>
      <c r="C14" s="370" t="s">
        <v>163</v>
      </c>
      <c r="D14" s="282">
        <f t="shared" si="1"/>
        <v>1.2409716189976602E-3</v>
      </c>
      <c r="E14" s="283">
        <f t="shared" si="1"/>
        <v>1.1642640138858581E-3</v>
      </c>
      <c r="F14" s="283">
        <f t="shared" si="1"/>
        <v>3.30136094775311E-4</v>
      </c>
      <c r="G14" s="283">
        <f t="shared" si="1"/>
        <v>1.0112167874272301E-3</v>
      </c>
      <c r="H14" s="283">
        <f t="shared" si="1"/>
        <v>8.7719431318173606E-4</v>
      </c>
      <c r="I14" s="194"/>
      <c r="J14" s="284">
        <f>AVERAGE(D68:INDEX(D68:H68,0,MATCH(Data!$B$3,$D$7:$H$7,0)))/AVERAGE($D$90:INDEX($D$90:$H$90,0,MATCH(Data!$B$3,$D$7:$H$7,0)))</f>
        <v>8.9756110093416322E-4</v>
      </c>
      <c r="K14" s="285">
        <f t="shared" si="2"/>
        <v>9.1660096664663638E-4</v>
      </c>
    </row>
    <row r="15" spans="1:13">
      <c r="B15" s="369" t="str">
        <f>ET!B15</f>
        <v xml:space="preserve">Insulation And Interruption Gas emissions ODI </v>
      </c>
      <c r="C15" s="370" t="s">
        <v>163</v>
      </c>
      <c r="D15" s="282">
        <f t="shared" si="1"/>
        <v>1.0468408998686775E-3</v>
      </c>
      <c r="E15" s="283">
        <f t="shared" si="1"/>
        <v>1.5879567648949232E-3</v>
      </c>
      <c r="F15" s="283">
        <f t="shared" si="1"/>
        <v>1.0071521875896193E-3</v>
      </c>
      <c r="G15" s="283">
        <f t="shared" si="1"/>
        <v>9.3785321491581029E-4</v>
      </c>
      <c r="H15" s="283">
        <f t="shared" si="1"/>
        <v>8.2594319182922676E-4</v>
      </c>
      <c r="I15" s="194"/>
      <c r="J15" s="284">
        <f>AVERAGE(D69:INDEX(D69:H69,0,MATCH(Data!$B$3,$D$7:$H$7,0)))/AVERAGE($D$90:INDEX($D$90:$H$90,0,MATCH(Data!$B$3,$D$7:$H$7,0)))</f>
        <v>1.2149224350151335E-3</v>
      </c>
      <c r="K15" s="285">
        <f t="shared" si="2"/>
        <v>1.0617459495211301E-3</v>
      </c>
    </row>
    <row r="16" spans="1:13">
      <c r="B16" s="369" t="str">
        <f>ET!B16</f>
        <v xml:space="preserve">Timely Connections ODI </v>
      </c>
      <c r="C16" s="370" t="s">
        <v>163</v>
      </c>
      <c r="D16" s="282">
        <f t="shared" si="1"/>
        <v>0</v>
      </c>
      <c r="E16" s="283">
        <f t="shared" si="1"/>
        <v>-1.3070106191487429E-5</v>
      </c>
      <c r="F16" s="283">
        <f t="shared" si="1"/>
        <v>-3.9198943788787858E-6</v>
      </c>
      <c r="G16" s="283">
        <f t="shared" si="1"/>
        <v>0</v>
      </c>
      <c r="H16" s="283">
        <f t="shared" si="1"/>
        <v>0</v>
      </c>
      <c r="I16" s="194"/>
      <c r="J16" s="284">
        <f>AVERAGE(D70:INDEX(D70:H70,0,MATCH(Data!$B$3,$D$7:$H$7,0)))/AVERAGE($D$90:INDEX($D$90:$H$90,0,MATCH(Data!$B$3,$D$7:$H$7,0)))</f>
        <v>-5.7610558142839219E-6</v>
      </c>
      <c r="K16" s="285">
        <f t="shared" si="2"/>
        <v>-3.1424496261377568E-6</v>
      </c>
    </row>
    <row r="17" spans="2:11">
      <c r="B17" s="369" t="str">
        <f>ET!B17</f>
        <v xml:space="preserve">Quality of connections satisfaction survey ODI </v>
      </c>
      <c r="C17" s="370" t="s">
        <v>163</v>
      </c>
      <c r="D17" s="282">
        <f t="shared" si="1"/>
        <v>3.5287494376439447E-4</v>
      </c>
      <c r="E17" s="283">
        <f t="shared" si="1"/>
        <v>5.7928577798699635E-4</v>
      </c>
      <c r="F17" s="283">
        <f t="shared" si="1"/>
        <v>6.0788515906304926E-4</v>
      </c>
      <c r="G17" s="283">
        <f t="shared" si="1"/>
        <v>1.0613671907960239E-3</v>
      </c>
      <c r="H17" s="283">
        <f t="shared" si="1"/>
        <v>9.2069799032182883E-4</v>
      </c>
      <c r="I17" s="194"/>
      <c r="J17" s="284">
        <f>AVERAGE(D71:INDEX(D71:H71,0,MATCH(Data!$B$3,$D$7:$H$7,0)))/AVERAGE($D$90:INDEX($D$90:$H$90,0,MATCH(Data!$B$3,$D$7:$H$7,0)))</f>
        <v>5.1791938829647672E-4</v>
      </c>
      <c r="K17" s="285">
        <f t="shared" si="2"/>
        <v>7.3069736736429164E-4</v>
      </c>
    </row>
    <row r="18" spans="2:11">
      <c r="B18" s="369" t="str">
        <f>ET!B18</f>
        <v>SO-TO Optimisation ODI</v>
      </c>
      <c r="C18" s="370" t="s">
        <v>163</v>
      </c>
      <c r="D18" s="282">
        <f t="shared" si="1"/>
        <v>3.698352226175682E-4</v>
      </c>
      <c r="E18" s="283">
        <f t="shared" si="1"/>
        <v>1.8183338312783314E-3</v>
      </c>
      <c r="F18" s="283">
        <f t="shared" si="1"/>
        <v>5.4666609288291437E-3</v>
      </c>
      <c r="G18" s="283">
        <f t="shared" si="1"/>
        <v>0</v>
      </c>
      <c r="H18" s="283">
        <f t="shared" si="1"/>
        <v>0</v>
      </c>
      <c r="I18" s="194"/>
      <c r="J18" s="284">
        <f>AVERAGE(D72:INDEX(D72:H72,0,MATCH(Data!$B$3,$D$7:$H$7,0)))/AVERAGE($D$90:INDEX($D$90:$H$90,0,MATCH(Data!$B$3,$D$7:$H$7,0)))</f>
        <v>2.6341537513167724E-3</v>
      </c>
      <c r="K18" s="285">
        <f t="shared" si="2"/>
        <v>1.4368365344579893E-3</v>
      </c>
    </row>
    <row r="19" spans="2:11">
      <c r="B19" s="369" t="str">
        <f>ET!B19</f>
        <v xml:space="preserve">Environmental scorecard ODI </v>
      </c>
      <c r="C19" s="370" t="s">
        <v>163</v>
      </c>
      <c r="D19" s="282">
        <f t="shared" si="1"/>
        <v>0</v>
      </c>
      <c r="E19" s="283">
        <f t="shared" si="1"/>
        <v>0</v>
      </c>
      <c r="F19" s="283">
        <f t="shared" si="1"/>
        <v>0</v>
      </c>
      <c r="G19" s="283">
        <f t="shared" si="1"/>
        <v>0</v>
      </c>
      <c r="H19" s="283">
        <f t="shared" si="1"/>
        <v>0</v>
      </c>
      <c r="I19" s="194"/>
      <c r="J19" s="284">
        <f>AVERAGE(D73:INDEX(D73:H73,0,MATCH(Data!$B$3,$D$7:$H$7,0)))/AVERAGE($D$90:INDEX($D$90:$H$90,0,MATCH(Data!$B$3,$D$7:$H$7,0)))</f>
        <v>0</v>
      </c>
      <c r="K19" s="285">
        <f t="shared" si="2"/>
        <v>0</v>
      </c>
    </row>
    <row r="20" spans="2:11">
      <c r="B20" s="369" t="str">
        <f>ET!B20</f>
        <v>Network innovation input for RORE</v>
      </c>
      <c r="C20" s="370" t="s">
        <v>163</v>
      </c>
      <c r="D20" s="282">
        <f t="shared" si="1"/>
        <v>-1.0854843380026123E-4</v>
      </c>
      <c r="E20" s="283">
        <f t="shared" si="1"/>
        <v>-7.9084664563815792E-5</v>
      </c>
      <c r="F20" s="283">
        <f t="shared" si="1"/>
        <v>-9.2145436553587204E-5</v>
      </c>
      <c r="G20" s="283">
        <f t="shared" si="1"/>
        <v>-3.578351384308888E-4</v>
      </c>
      <c r="H20" s="283">
        <f t="shared" si="1"/>
        <v>-3.7989296210647506E-4</v>
      </c>
      <c r="I20" s="194"/>
      <c r="J20" s="284">
        <f>AVERAGE(D74:INDEX(D74:H74,0,MATCH(Data!$B$3,$D$7:$H$7,0)))/AVERAGE($D$90:INDEX($D$90:$H$90,0,MATCH(Data!$B$3,$D$7:$H$7,0)))</f>
        <v>-9.2922836266949111E-5</v>
      </c>
      <c r="K20" s="285">
        <f t="shared" si="2"/>
        <v>-2.1870378057560326E-4</v>
      </c>
    </row>
    <row r="21" spans="2:11">
      <c r="B21" s="369" t="str">
        <f>ET!B21</f>
        <v>Carry-over Network innovation input for RORE</v>
      </c>
      <c r="C21" s="370" t="s">
        <v>163</v>
      </c>
      <c r="D21" s="282">
        <f t="shared" ref="D21:H21" si="3">D75/D$90</f>
        <v>-1.81827470891922E-5</v>
      </c>
      <c r="E21" s="283">
        <f t="shared" si="3"/>
        <v>0</v>
      </c>
      <c r="F21" s="283">
        <f t="shared" si="3"/>
        <v>0</v>
      </c>
      <c r="G21" s="283">
        <f t="shared" si="3"/>
        <v>0</v>
      </c>
      <c r="H21" s="283">
        <f t="shared" si="3"/>
        <v>0</v>
      </c>
      <c r="I21" s="194"/>
      <c r="J21" s="284">
        <f>AVERAGE(D75:INDEX(D75:H75,0,MATCH(Data!$B$3,$D$7:$H$7,0)))/AVERAGE($D$90:INDEX($D$90:$H$90,0,MATCH(Data!$B$3,$D$7:$H$7,0)))</f>
        <v>-5.7291713980962237E-6</v>
      </c>
      <c r="K21" s="285">
        <f t="shared" ref="K21:K22" si="4">AVERAGE(D75:H75)/AVERAGE($D$90:$H$90)</f>
        <v>-3.1250578189832016E-6</v>
      </c>
    </row>
    <row r="22" spans="2:11">
      <c r="B22" s="369" t="str">
        <f>ET!B22</f>
        <v>Strategic innovation input for RORE</v>
      </c>
      <c r="C22" s="370" t="s">
        <v>163</v>
      </c>
      <c r="D22" s="282">
        <f t="shared" ref="D22:H22" si="5">D76/D$90</f>
        <v>-9.5807698870642075E-5</v>
      </c>
      <c r="E22" s="283">
        <f t="shared" si="5"/>
        <v>-6.9798751663815837E-5</v>
      </c>
      <c r="F22" s="283">
        <f t="shared" si="5"/>
        <v>-8.9877580146162413E-5</v>
      </c>
      <c r="G22" s="283">
        <f t="shared" si="5"/>
        <v>0</v>
      </c>
      <c r="H22" s="283">
        <f t="shared" si="5"/>
        <v>0</v>
      </c>
      <c r="I22" s="194"/>
      <c r="J22" s="284">
        <f>AVERAGE(D76:INDEX(D76:H76,0,MATCH(Data!$B$3,$D$7:$H$7,0)))/AVERAGE($D$90:INDEX($D$90:$H$90,0,MATCH(Data!$B$3,$D$7:$H$7,0)))</f>
        <v>-8.4995648032474858E-5</v>
      </c>
      <c r="K22" s="285">
        <f t="shared" si="4"/>
        <v>-4.6362082054604404E-5</v>
      </c>
    </row>
    <row r="23" spans="2:11">
      <c r="B23" s="369" t="str">
        <f>ET!B23</f>
        <v/>
      </c>
      <c r="C23" s="370" t="s">
        <v>163</v>
      </c>
      <c r="D23" s="460"/>
      <c r="E23" s="461"/>
      <c r="F23" s="461"/>
      <c r="G23" s="461"/>
      <c r="H23" s="461"/>
      <c r="I23" s="194"/>
      <c r="J23" s="466"/>
      <c r="K23" s="467"/>
    </row>
    <row r="24" spans="2:11">
      <c r="B24" s="369" t="str">
        <f>ET!B24</f>
        <v/>
      </c>
      <c r="C24" s="370" t="s">
        <v>163</v>
      </c>
      <c r="D24" s="460"/>
      <c r="E24" s="461"/>
      <c r="F24" s="461"/>
      <c r="G24" s="461"/>
      <c r="H24" s="461"/>
      <c r="I24" s="194"/>
      <c r="J24" s="466"/>
      <c r="K24" s="467"/>
    </row>
    <row r="25" spans="2:11">
      <c r="B25" s="369" t="str">
        <f>ET!B25</f>
        <v/>
      </c>
      <c r="C25" s="370" t="s">
        <v>163</v>
      </c>
      <c r="D25" s="460"/>
      <c r="E25" s="461"/>
      <c r="F25" s="461"/>
      <c r="G25" s="461"/>
      <c r="H25" s="461"/>
      <c r="I25" s="194"/>
      <c r="J25" s="466"/>
      <c r="K25" s="467"/>
    </row>
    <row r="26" spans="2:11">
      <c r="B26" s="369" t="str">
        <f>ET!B26</f>
        <v/>
      </c>
      <c r="C26" s="370" t="s">
        <v>163</v>
      </c>
      <c r="D26" s="460"/>
      <c r="E26" s="461"/>
      <c r="F26" s="461"/>
      <c r="G26" s="461"/>
      <c r="H26" s="461"/>
      <c r="I26" s="194"/>
      <c r="J26" s="466"/>
      <c r="K26" s="467"/>
    </row>
    <row r="27" spans="2:11">
      <c r="B27" s="369" t="str">
        <f>ET!B27</f>
        <v/>
      </c>
      <c r="C27" s="370" t="s">
        <v>163</v>
      </c>
      <c r="D27" s="460"/>
      <c r="E27" s="461"/>
      <c r="F27" s="461"/>
      <c r="G27" s="461"/>
      <c r="H27" s="461"/>
      <c r="I27" s="194"/>
      <c r="J27" s="466"/>
      <c r="K27" s="467"/>
    </row>
    <row r="28" spans="2:11">
      <c r="B28" s="369" t="str">
        <f>ET!B28</f>
        <v>Penalties and fines (Other Activities)</v>
      </c>
      <c r="C28" s="370" t="s">
        <v>163</v>
      </c>
      <c r="D28" s="460"/>
      <c r="E28" s="461"/>
      <c r="F28" s="461"/>
      <c r="G28" s="461"/>
      <c r="H28" s="461"/>
      <c r="I28" s="194"/>
      <c r="J28" s="466"/>
      <c r="K28" s="467"/>
    </row>
    <row r="29" spans="2:11">
      <c r="B29" s="372" t="str">
        <f>ET!B29</f>
        <v>RoRE - Operational performance</v>
      </c>
      <c r="C29" s="370" t="s">
        <v>163</v>
      </c>
      <c r="D29" s="324">
        <f>SUM(D11:D28)</f>
        <v>4.6155734844856272E-2</v>
      </c>
      <c r="E29" s="324">
        <f t="shared" ref="E29:H29" si="6">SUM(E11:E28)</f>
        <v>4.8473996386174827E-2</v>
      </c>
      <c r="F29" s="324">
        <f t="shared" si="6"/>
        <v>5.7161516479934185E-2</v>
      </c>
      <c r="G29" s="324">
        <f t="shared" si="6"/>
        <v>5.5419769307864901E-2</v>
      </c>
      <c r="H29" s="324">
        <f t="shared" si="6"/>
        <v>5.4488709423640466E-2</v>
      </c>
      <c r="I29" s="287"/>
      <c r="J29" s="151">
        <f>SUM(J11:J28)</f>
        <v>5.0773004329562096E-2</v>
      </c>
      <c r="K29" s="323">
        <f>SUM(K11:K28)</f>
        <v>5.2658507924596774E-2</v>
      </c>
    </row>
    <row r="30" spans="2:11">
      <c r="B30" s="369" t="str">
        <f>ET!B30</f>
        <v>Debt performance - at notional gearing</v>
      </c>
      <c r="C30" s="370" t="s">
        <v>163</v>
      </c>
      <c r="D30" s="282">
        <f>(D84)/D$90</f>
        <v>5.5929999465943854E-2</v>
      </c>
      <c r="E30" s="283">
        <f t="shared" ref="E30:H30" si="7">(E84)/E$90</f>
        <v>9.2913696778373814E-2</v>
      </c>
      <c r="F30" s="283">
        <f t="shared" si="7"/>
        <v>4.0132726297343317E-2</v>
      </c>
      <c r="G30" s="283">
        <f t="shared" si="7"/>
        <v>-7.3402123981005654E-4</v>
      </c>
      <c r="H30" s="283">
        <f t="shared" si="7"/>
        <v>-1.020086328281174E-2</v>
      </c>
      <c r="I30" s="194"/>
      <c r="J30" s="284">
        <f>AVERAGE(D84:INDEX(D84:H84,0,MATCH(Data!$B$3,$D$7:$H$7,0)))/AVERAGE($D$90:INDEX($D$90:$H$90,0,MATCH(Data!$B$3,$D$7:$H$7,0)))</f>
        <v>6.2855070354725165E-2</v>
      </c>
      <c r="K30" s="285">
        <f>AVERAGE(D84:H84)/AVERAGE($D$90:$H$90)</f>
        <v>3.1647346709580471E-2</v>
      </c>
    </row>
    <row r="31" spans="2:11">
      <c r="B31" s="369" t="str">
        <f>ET!B31</f>
        <v>Tax performance - at notional gearing</v>
      </c>
      <c r="C31" s="370" t="s">
        <v>163</v>
      </c>
      <c r="D31" s="282">
        <f>(D86)/D$90</f>
        <v>-3.0735651875388901E-3</v>
      </c>
      <c r="E31" s="283">
        <f t="shared" ref="E31:H31" si="8">(E86)/E$90</f>
        <v>1.6907459326113811E-3</v>
      </c>
      <c r="F31" s="283">
        <f t="shared" si="8"/>
        <v>9.1912378674506589E-4</v>
      </c>
      <c r="G31" s="283">
        <f t="shared" si="8"/>
        <v>1.0129142997509181E-3</v>
      </c>
      <c r="H31" s="283">
        <f t="shared" si="8"/>
        <v>6.7568063888927374E-4</v>
      </c>
      <c r="I31" s="194"/>
      <c r="J31" s="284">
        <f>AVERAGE(D86:INDEX(D86:H86,0,MATCH(Data!$B$3,$D$7:$H$7,0)))/AVERAGE($D$90:INDEX($D$90:$H$90,0,MATCH(Data!$B$3,$D$7:$H$7,0)))</f>
        <v>-7.9508805697141394E-5</v>
      </c>
      <c r="K31" s="285">
        <f>AVERAGE(D86:H86)/AVERAGE($D$90:$H$90)</f>
        <v>3.3495484159402807E-4</v>
      </c>
    </row>
    <row r="32" spans="2:11">
      <c r="B32" s="372" t="str">
        <f>ET!B32</f>
        <v>RoRE - including financing and tax</v>
      </c>
      <c r="C32" s="370" t="s">
        <v>163</v>
      </c>
      <c r="D32" s="151">
        <f>SUM(D29:D31)</f>
        <v>9.9012169123261232E-2</v>
      </c>
      <c r="E32" s="325">
        <f t="shared" ref="E32:H32" si="9">SUM(E29:E31)</f>
        <v>0.14307843909716</v>
      </c>
      <c r="F32" s="325">
        <f t="shared" si="9"/>
        <v>9.8213366564022561E-2</v>
      </c>
      <c r="G32" s="325">
        <f t="shared" si="9"/>
        <v>5.5698662367805761E-2</v>
      </c>
      <c r="H32" s="325">
        <f t="shared" si="9"/>
        <v>4.4963526779718002E-2</v>
      </c>
      <c r="I32" s="287"/>
      <c r="J32" s="151">
        <f>SUM(J29:J31)</f>
        <v>0.11354856587859012</v>
      </c>
      <c r="K32" s="323">
        <f>SUM(K29:K31)</f>
        <v>8.4640809475771281E-2</v>
      </c>
    </row>
    <row r="34" spans="2:13">
      <c r="E34" s="194"/>
    </row>
    <row r="36" spans="2:13">
      <c r="B36" s="366" t="s">
        <v>57</v>
      </c>
      <c r="C36" s="367"/>
      <c r="D36" s="367"/>
      <c r="E36" s="367"/>
      <c r="F36" s="367"/>
      <c r="G36" s="367"/>
      <c r="H36" s="367"/>
      <c r="I36" s="368"/>
      <c r="J36" s="367"/>
      <c r="K36" s="367"/>
      <c r="L36" s="367"/>
    </row>
    <row r="37" spans="2:13">
      <c r="B37" s="147"/>
      <c r="I37" s="345"/>
    </row>
    <row r="38" spans="2:13">
      <c r="B38" s="369" t="str">
        <f>ET!B38</f>
        <v>Allowed Equity Return</v>
      </c>
      <c r="C38" s="370" t="s">
        <v>163</v>
      </c>
      <c r="D38" s="282">
        <f t="shared" ref="D38:H47" si="10">D65/D$91</f>
        <v>4.1721045084780778E-2</v>
      </c>
      <c r="E38" s="283">
        <f t="shared" si="10"/>
        <v>4.2666759260433978E-2</v>
      </c>
      <c r="F38" s="283">
        <f t="shared" si="10"/>
        <v>4.8368681484722287E-2</v>
      </c>
      <c r="G38" s="283">
        <f t="shared" si="10"/>
        <v>5.0476863562086999E-2</v>
      </c>
      <c r="H38" s="283">
        <f t="shared" si="10"/>
        <v>5.127020523996903E-2</v>
      </c>
      <c r="I38" s="194"/>
      <c r="J38" s="284">
        <f>AVERAGE(D65:INDEX(D65:H65,0,MATCH(Data!$B$3,$D$7:$H$7,0)))/AVERAGE($D$91:INDEX($D$91:$H$91,0,MATCH(Data!$B$3,$D$7:$H$7,0)))</f>
        <v>4.4364475642619958E-2</v>
      </c>
      <c r="K38" s="285">
        <f t="shared" ref="K38:K47" si="11">AVERAGE(D65:H65)/AVERAGE($D$91:$H$91)</f>
        <v>4.7345212601776224E-2</v>
      </c>
      <c r="M38" s="374"/>
    </row>
    <row r="39" spans="2:13">
      <c r="B39" s="369" t="str">
        <f>ET!B39</f>
        <v>Totex outperformance</v>
      </c>
      <c r="C39" s="370" t="s">
        <v>163</v>
      </c>
      <c r="D39" s="282">
        <f t="shared" si="10"/>
        <v>0</v>
      </c>
      <c r="E39" s="283">
        <f t="shared" si="10"/>
        <v>0</v>
      </c>
      <c r="F39" s="283">
        <f t="shared" si="10"/>
        <v>0</v>
      </c>
      <c r="G39" s="283">
        <f t="shared" si="10"/>
        <v>0</v>
      </c>
      <c r="H39" s="283">
        <f t="shared" si="10"/>
        <v>0</v>
      </c>
      <c r="I39" s="194"/>
      <c r="J39" s="284">
        <f>AVERAGE(D66:INDEX(D66:H66,0,MATCH(Data!$B$3,$D$7:$H$7,0)))/AVERAGE($D$91:INDEX($D$91:$H$91,0,MATCH(Data!$B$3,$D$7:$H$7,0)))</f>
        <v>0</v>
      </c>
      <c r="K39" s="285">
        <f t="shared" si="11"/>
        <v>0</v>
      </c>
    </row>
    <row r="40" spans="2:13">
      <c r="B40" s="369" t="str">
        <f>ET!B40</f>
        <v>Business Plan Incentive</v>
      </c>
      <c r="C40" s="370" t="s">
        <v>163</v>
      </c>
      <c r="D40" s="282">
        <f t="shared" si="10"/>
        <v>9.1258720341248919E-4</v>
      </c>
      <c r="E40" s="283">
        <f t="shared" si="10"/>
        <v>8.7105054239045542E-4</v>
      </c>
      <c r="F40" s="283">
        <f t="shared" si="10"/>
        <v>8.2634583472177285E-4</v>
      </c>
      <c r="G40" s="283">
        <f t="shared" si="10"/>
        <v>7.3335280989753396E-4</v>
      </c>
      <c r="H40" s="283">
        <f t="shared" si="10"/>
        <v>6.5144439672639896E-4</v>
      </c>
      <c r="I40" s="194"/>
      <c r="J40" s="284">
        <f>AVERAGE(D67:INDEX(D67:H67,0,MATCH(Data!$B$3,$D$7:$H$7,0)))/AVERAGE($D$91:INDEX($D$91:$H$91,0,MATCH(Data!$B$3,$D$7:$H$7,0)))</f>
        <v>8.6856528969659458E-4</v>
      </c>
      <c r="K40" s="285">
        <f t="shared" si="11"/>
        <v>7.8707653621843331E-4</v>
      </c>
    </row>
    <row r="41" spans="2:13">
      <c r="B41" s="369" t="str">
        <f>ET!B41</f>
        <v xml:space="preserve">Energy not supplied ODI </v>
      </c>
      <c r="C41" s="370" t="s">
        <v>163</v>
      </c>
      <c r="D41" s="282">
        <f t="shared" si="10"/>
        <v>1.2199647529889772E-3</v>
      </c>
      <c r="E41" s="283">
        <f t="shared" si="10"/>
        <v>1.1656481979121142E-3</v>
      </c>
      <c r="F41" s="283">
        <f t="shared" si="10"/>
        <v>3.2523983017846315E-4</v>
      </c>
      <c r="G41" s="283">
        <f t="shared" si="10"/>
        <v>9.813797703918548E-4</v>
      </c>
      <c r="H41" s="283">
        <f t="shared" si="10"/>
        <v>8.7176914556547547E-4</v>
      </c>
      <c r="I41" s="194"/>
      <c r="J41" s="284">
        <f>AVERAGE(D68:INDEX(D68:H68,0,MATCH(Data!$B$3,$D$7:$H$7,0)))/AVERAGE($D$91:INDEX($D$91:$H$91,0,MATCH(Data!$B$3,$D$7:$H$7,0)))</f>
        <v>8.8843156434031164E-4</v>
      </c>
      <c r="K41" s="285">
        <f t="shared" si="11"/>
        <v>9.0435672544235174E-4</v>
      </c>
    </row>
    <row r="42" spans="2:13">
      <c r="B42" s="369" t="str">
        <f>ET!B42</f>
        <v xml:space="preserve">Insulation And Interruption Gas emissions ODI </v>
      </c>
      <c r="C42" s="370" t="s">
        <v>163</v>
      </c>
      <c r="D42" s="282">
        <f t="shared" si="10"/>
        <v>1.0291202314993938E-3</v>
      </c>
      <c r="E42" s="283">
        <f t="shared" si="10"/>
        <v>1.5898446737902751E-3</v>
      </c>
      <c r="F42" s="283">
        <f t="shared" si="10"/>
        <v>9.9221506414939355E-4</v>
      </c>
      <c r="G42" s="283">
        <f t="shared" si="10"/>
        <v>9.1018086740532326E-4</v>
      </c>
      <c r="H42" s="283">
        <f t="shared" si="10"/>
        <v>8.2083499608531015E-4</v>
      </c>
      <c r="I42" s="194"/>
      <c r="J42" s="284">
        <f>AVERAGE(D69:INDEX(D69:H69,0,MATCH(Data!$B$3,$D$7:$H$7,0)))/AVERAGE($D$91:INDEX($D$91:$H$91,0,MATCH(Data!$B$3,$D$7:$H$7,0)))</f>
        <v>1.2025648597841904E-3</v>
      </c>
      <c r="K42" s="285">
        <f t="shared" si="11"/>
        <v>1.0475628164275986E-3</v>
      </c>
    </row>
    <row r="43" spans="2:13">
      <c r="B43" s="369" t="str">
        <f>ET!B43</f>
        <v xml:space="preserve">Timely Connections ODI </v>
      </c>
      <c r="C43" s="370" t="s">
        <v>163</v>
      </c>
      <c r="D43" s="282">
        <f t="shared" si="10"/>
        <v>0</v>
      </c>
      <c r="E43" s="283">
        <f t="shared" si="10"/>
        <v>-1.3085645134541546E-5</v>
      </c>
      <c r="F43" s="283">
        <f t="shared" si="10"/>
        <v>-3.8617582332878307E-6</v>
      </c>
      <c r="G43" s="283">
        <f t="shared" si="10"/>
        <v>0</v>
      </c>
      <c r="H43" s="283">
        <f t="shared" si="10"/>
        <v>0</v>
      </c>
      <c r="I43" s="194"/>
      <c r="J43" s="284">
        <f>AVERAGE(D70:INDEX(D70:H70,0,MATCH(Data!$B$3,$D$7:$H$7,0)))/AVERAGE($D$91:INDEX($D$91:$H$91,0,MATCH(Data!$B$3,$D$7:$H$7,0)))</f>
        <v>-5.702457274506534E-6</v>
      </c>
      <c r="K43" s="285">
        <f t="shared" si="11"/>
        <v>-3.1004718052594829E-6</v>
      </c>
    </row>
    <row r="44" spans="2:13">
      <c r="B44" s="369" t="str">
        <f>ET!B44</f>
        <v xml:space="preserve">Quality of connections satisfaction survey ODI </v>
      </c>
      <c r="C44" s="370" t="s">
        <v>163</v>
      </c>
      <c r="D44" s="282">
        <f t="shared" si="10"/>
        <v>3.469015624654188E-4</v>
      </c>
      <c r="E44" s="283">
        <f t="shared" si="10"/>
        <v>5.7997448614164487E-4</v>
      </c>
      <c r="F44" s="283">
        <f t="shared" si="10"/>
        <v>5.9886958448525189E-4</v>
      </c>
      <c r="G44" s="283">
        <f t="shared" si="10"/>
        <v>1.0300504332556944E-3</v>
      </c>
      <c r="H44" s="283">
        <f t="shared" si="10"/>
        <v>9.1500376630966824E-4</v>
      </c>
      <c r="I44" s="194"/>
      <c r="J44" s="284">
        <f>AVERAGE(D71:INDEX(D71:H71,0,MATCH(Data!$B$3,$D$7:$H$7,0)))/AVERAGE($D$91:INDEX($D$91:$H$91,0,MATCH(Data!$B$3,$D$7:$H$7,0)))</f>
        <v>5.1265137478386273E-4</v>
      </c>
      <c r="K44" s="285">
        <f t="shared" si="11"/>
        <v>7.2093648434223248E-4</v>
      </c>
    </row>
    <row r="45" spans="2:13">
      <c r="B45" s="369" t="str">
        <f>ET!B45</f>
        <v>SO-TO Optimisation ODI</v>
      </c>
      <c r="C45" s="370" t="s">
        <v>163</v>
      </c>
      <c r="D45" s="282">
        <f t="shared" si="10"/>
        <v>3.6357474183953574E-4</v>
      </c>
      <c r="E45" s="283">
        <f t="shared" si="10"/>
        <v>1.8204956335960518E-3</v>
      </c>
      <c r="F45" s="283">
        <f t="shared" si="10"/>
        <v>5.3855846127510302E-3</v>
      </c>
      <c r="G45" s="283">
        <f t="shared" si="10"/>
        <v>0</v>
      </c>
      <c r="H45" s="283">
        <f t="shared" si="10"/>
        <v>0</v>
      </c>
      <c r="I45" s="194"/>
      <c r="J45" s="284">
        <f>AVERAGE(D72:INDEX(D72:H72,0,MATCH(Data!$B$3,$D$7:$H$7,0)))/AVERAGE($D$91:INDEX($D$91:$H$91,0,MATCH(Data!$B$3,$D$7:$H$7,0)))</f>
        <v>2.6073604744674874E-3</v>
      </c>
      <c r="K45" s="285">
        <f t="shared" si="11"/>
        <v>1.4176428245021777E-3</v>
      </c>
    </row>
    <row r="46" spans="2:13">
      <c r="B46" s="369" t="str">
        <f>ET!B46</f>
        <v xml:space="preserve">Environmental scorecard ODI </v>
      </c>
      <c r="C46" s="370" t="s">
        <v>163</v>
      </c>
      <c r="D46" s="282">
        <f t="shared" si="10"/>
        <v>0</v>
      </c>
      <c r="E46" s="283">
        <f t="shared" si="10"/>
        <v>0</v>
      </c>
      <c r="F46" s="283">
        <f t="shared" si="10"/>
        <v>0</v>
      </c>
      <c r="G46" s="283">
        <f t="shared" si="10"/>
        <v>0</v>
      </c>
      <c r="H46" s="283">
        <f t="shared" si="10"/>
        <v>0</v>
      </c>
      <c r="I46" s="194"/>
      <c r="J46" s="284">
        <f>AVERAGE(D73:INDEX(D73:H73,0,MATCH(Data!$B$3,$D$7:$H$7,0)))/AVERAGE($D$91:INDEX($D$91:$H$91,0,MATCH(Data!$B$3,$D$7:$H$7,0)))</f>
        <v>0</v>
      </c>
      <c r="K46" s="285">
        <f t="shared" si="11"/>
        <v>0</v>
      </c>
    </row>
    <row r="47" spans="2:13">
      <c r="B47" s="369" t="str">
        <f>ET!B47</f>
        <v>Network innovation input for RORE</v>
      </c>
      <c r="C47" s="370" t="s">
        <v>163</v>
      </c>
      <c r="D47" s="282">
        <f t="shared" si="10"/>
        <v>-1.067109522903003E-4</v>
      </c>
      <c r="E47" s="283">
        <f t="shared" si="10"/>
        <v>-7.9178687678938716E-5</v>
      </c>
      <c r="F47" s="283">
        <f t="shared" si="10"/>
        <v>-9.0778823069334656E-5</v>
      </c>
      <c r="G47" s="283">
        <f t="shared" si="10"/>
        <v>-3.472768355486924E-4</v>
      </c>
      <c r="H47" s="283">
        <f t="shared" si="10"/>
        <v>-3.7754344505569774E-4</v>
      </c>
      <c r="I47" s="194"/>
      <c r="J47" s="284">
        <f>AVERAGE(D74:INDEX(D74:H74,0,MATCH(Data!$B$3,$D$7:$H$7,0)))/AVERAGE($D$91:INDEX($D$91:$H$91,0,MATCH(Data!$B$3,$D$7:$H$7,0)))</f>
        <v>-9.1977672273967849E-5</v>
      </c>
      <c r="K47" s="285">
        <f t="shared" si="11"/>
        <v>-2.1578226735545738E-4</v>
      </c>
    </row>
    <row r="48" spans="2:13">
      <c r="B48" s="369" t="str">
        <f>ET!B48</f>
        <v>Carry-over Network innovation input for RORE</v>
      </c>
      <c r="C48" s="370" t="s">
        <v>163</v>
      </c>
      <c r="D48" s="282">
        <f t="shared" ref="D48:H48" si="12">D75/D$91</f>
        <v>-1.7874953964897428E-5</v>
      </c>
      <c r="E48" s="283">
        <f t="shared" si="12"/>
        <v>0</v>
      </c>
      <c r="F48" s="283">
        <f t="shared" si="12"/>
        <v>0</v>
      </c>
      <c r="G48" s="283">
        <f t="shared" si="12"/>
        <v>0</v>
      </c>
      <c r="H48" s="283">
        <f t="shared" si="12"/>
        <v>0</v>
      </c>
      <c r="I48" s="194"/>
      <c r="J48" s="284">
        <f>AVERAGE(D75:INDEX(D75:H75,0,MATCH(Data!$B$3,$D$7:$H$7,0)))/AVERAGE($D$91:INDEX($D$91:$H$91,0,MATCH(Data!$B$3,$D$7:$H$7,0)))</f>
        <v>-5.6708971704398226E-6</v>
      </c>
      <c r="K48" s="285">
        <f t="shared" ref="K48:K49" si="13">AVERAGE(D75:H75)/AVERAGE($D$91:$H$91)</f>
        <v>-3.0833123232818889E-6</v>
      </c>
    </row>
    <row r="49" spans="2:12">
      <c r="B49" s="369" t="str">
        <f>ET!B49</f>
        <v>Strategic innovation input for RORE</v>
      </c>
      <c r="C49" s="370" t="s">
        <v>163</v>
      </c>
      <c r="D49" s="282">
        <f t="shared" ref="D49:H49" si="14">D76/D$91</f>
        <v>-9.4185889425554657E-5</v>
      </c>
      <c r="E49" s="283">
        <f t="shared" si="14"/>
        <v>-6.9881734832541649E-5</v>
      </c>
      <c r="F49" s="283">
        <f t="shared" si="14"/>
        <v>-8.8544601351403499E-5</v>
      </c>
      <c r="G49" s="283">
        <f t="shared" si="14"/>
        <v>0</v>
      </c>
      <c r="H49" s="283">
        <f t="shared" si="14"/>
        <v>0</v>
      </c>
      <c r="I49" s="194"/>
      <c r="J49" s="284">
        <f>AVERAGE(D76:INDEX(D76:H76,0,MATCH(Data!$B$3,$D$7:$H$7,0)))/AVERAGE($D$91:INDEX($D$91:$H$91,0,MATCH(Data!$B$3,$D$7:$H$7,0)))</f>
        <v>-8.4131115380354588E-5</v>
      </c>
      <c r="K49" s="285">
        <f t="shared" si="13"/>
        <v>-4.5742762922216603E-5</v>
      </c>
    </row>
    <row r="50" spans="2:12">
      <c r="B50" s="369" t="str">
        <f>ET!B50</f>
        <v/>
      </c>
      <c r="C50" s="370" t="s">
        <v>163</v>
      </c>
      <c r="D50" s="460"/>
      <c r="E50" s="461"/>
      <c r="F50" s="461"/>
      <c r="G50" s="461"/>
      <c r="H50" s="461"/>
      <c r="I50" s="194"/>
      <c r="J50" s="466"/>
      <c r="K50" s="467"/>
    </row>
    <row r="51" spans="2:12">
      <c r="B51" s="369" t="str">
        <f>ET!B51</f>
        <v/>
      </c>
      <c r="C51" s="370" t="s">
        <v>163</v>
      </c>
      <c r="D51" s="460"/>
      <c r="E51" s="461"/>
      <c r="F51" s="461"/>
      <c r="G51" s="461"/>
      <c r="H51" s="461"/>
      <c r="I51" s="194"/>
      <c r="J51" s="466"/>
      <c r="K51" s="467"/>
    </row>
    <row r="52" spans="2:12">
      <c r="B52" s="369" t="str">
        <f>ET!B52</f>
        <v/>
      </c>
      <c r="C52" s="370" t="s">
        <v>163</v>
      </c>
      <c r="D52" s="460"/>
      <c r="E52" s="461"/>
      <c r="F52" s="461"/>
      <c r="G52" s="461"/>
      <c r="H52" s="461"/>
      <c r="I52" s="194"/>
      <c r="J52" s="466"/>
      <c r="K52" s="467"/>
    </row>
    <row r="53" spans="2:12">
      <c r="B53" s="369" t="str">
        <f>ET!B53</f>
        <v/>
      </c>
      <c r="C53" s="370" t="s">
        <v>163</v>
      </c>
      <c r="D53" s="460"/>
      <c r="E53" s="461"/>
      <c r="F53" s="461"/>
      <c r="G53" s="461"/>
      <c r="H53" s="461"/>
      <c r="I53" s="194"/>
      <c r="J53" s="466"/>
      <c r="K53" s="467"/>
    </row>
    <row r="54" spans="2:12">
      <c r="B54" s="369" t="str">
        <f>ET!B54</f>
        <v/>
      </c>
      <c r="C54" s="370" t="s">
        <v>163</v>
      </c>
      <c r="D54" s="460"/>
      <c r="E54" s="461"/>
      <c r="F54" s="461"/>
      <c r="G54" s="461"/>
      <c r="H54" s="461"/>
      <c r="I54" s="194"/>
      <c r="J54" s="466"/>
      <c r="K54" s="467"/>
    </row>
    <row r="55" spans="2:12">
      <c r="B55" s="369" t="str">
        <f>ET!B55</f>
        <v>Penalties and fines (Other Activities)</v>
      </c>
      <c r="C55" s="370" t="s">
        <v>163</v>
      </c>
      <c r="D55" s="460"/>
      <c r="E55" s="461"/>
      <c r="F55" s="461"/>
      <c r="G55" s="461"/>
      <c r="H55" s="461"/>
      <c r="I55" s="194"/>
      <c r="J55" s="466"/>
      <c r="K55" s="467"/>
    </row>
    <row r="56" spans="2:12">
      <c r="B56" s="372" t="str">
        <f>ET!B56</f>
        <v>RoRE - Operational performance</v>
      </c>
      <c r="C56" s="370" t="s">
        <v>163</v>
      </c>
      <c r="D56" s="324">
        <f>SUM(D38:D55)</f>
        <v>4.5374421781305838E-2</v>
      </c>
      <c r="E56" s="324">
        <f t="shared" ref="E56:H56" si="15">SUM(E38:E55)</f>
        <v>4.8531626726618496E-2</v>
      </c>
      <c r="F56" s="324">
        <f t="shared" si="15"/>
        <v>5.6313751228354171E-2</v>
      </c>
      <c r="G56" s="324">
        <f t="shared" si="15"/>
        <v>5.3784550607488706E-2</v>
      </c>
      <c r="H56" s="324">
        <f t="shared" si="15"/>
        <v>5.4151714099600186E-2</v>
      </c>
      <c r="I56" s="287"/>
      <c r="J56" s="151">
        <f>SUM(J38:J55)</f>
        <v>5.025656706359314E-2</v>
      </c>
      <c r="K56" s="323">
        <f>SUM(K38:K55)</f>
        <v>5.195507917430281E-2</v>
      </c>
    </row>
    <row r="57" spans="2:12">
      <c r="B57" s="369" t="str">
        <f>ET!B57</f>
        <v>Debt performance - at actual gearing</v>
      </c>
      <c r="C57" s="370" t="s">
        <v>163</v>
      </c>
      <c r="D57" s="282">
        <f>(D84+D85)/D$91</f>
        <v>5.4555619502785972E-2</v>
      </c>
      <c r="E57" s="283">
        <f t="shared" ref="E57:H57" si="16">(E84+E85)/E$91</f>
        <v>9.3091952085769397E-2</v>
      </c>
      <c r="F57" s="283">
        <f t="shared" si="16"/>
        <v>3.9335281656159529E-2</v>
      </c>
      <c r="G57" s="283">
        <f t="shared" si="16"/>
        <v>-7.2065192924920582E-5</v>
      </c>
      <c r="H57" s="283">
        <f t="shared" si="16"/>
        <v>-9.9445266310196935E-3</v>
      </c>
      <c r="I57" s="194"/>
      <c r="J57" s="284">
        <f>(AVERAGE(D84:INDEX(D84:H84,0,MATCH(Data!$B$3,$D$7:$H$7,0)))+AVERAGE(D85:INDEX(D85:H85,0,MATCH(Data!$B$3,$D$7:$H$7,0))))/AVERAGE($D$91:INDEX($D$91:$H$91,0,MATCH(Data!$B$3,$D$7:$H$7,0)))</f>
        <v>6.203175631718108E-2</v>
      </c>
      <c r="K57" s="285">
        <f>(AVERAGE(D84:H84)+AVERAGE(D85:H85))/AVERAGE($D$91:$H$91)</f>
        <v>3.1308695320579484E-2</v>
      </c>
    </row>
    <row r="58" spans="2:12">
      <c r="B58" s="369" t="str">
        <f>ET!B58</f>
        <v>Tax performance - at actual gearing</v>
      </c>
      <c r="C58" s="370" t="s">
        <v>163</v>
      </c>
      <c r="D58" s="282">
        <f>(D86+D87)/D$91</f>
        <v>-2.9402906235050301E-3</v>
      </c>
      <c r="E58" s="283">
        <f t="shared" ref="E58:H58" si="17">(E86+E87)/E$91</f>
        <v>1.6798757627481879E-3</v>
      </c>
      <c r="F58" s="283">
        <f t="shared" si="17"/>
        <v>9.5605076961541486E-4</v>
      </c>
      <c r="G58" s="283">
        <f t="shared" si="17"/>
        <v>8.2295270167070825E-4</v>
      </c>
      <c r="H58" s="283">
        <f t="shared" si="17"/>
        <v>6.2318987937661895E-4</v>
      </c>
      <c r="I58" s="194"/>
      <c r="J58" s="284">
        <f>(AVERAGE(D86:INDEX(D86:H86,0,MATCH(Data!$B$3,$D$7:$H$7,0)))+AVERAGE(D87:INDEX(D87:H87,0,MATCH(Data!$B$3,$D$7:$H$7,0))))/AVERAGE($D$91:INDEX($D$91:$H$91,0,MATCH(Data!$B$3,$D$7:$H$7,0)))</f>
        <v>-3.949176546088373E-5</v>
      </c>
      <c r="K58" s="285">
        <f>(AVERAGE(D86:H86)+AVERAGE(D87:H87))/AVERAGE($D$91:$H$91)</f>
        <v>3.0576394508537841E-4</v>
      </c>
    </row>
    <row r="59" spans="2:12">
      <c r="B59" s="372" t="str">
        <f>ET!B59</f>
        <v>RoRE - including financing and tax</v>
      </c>
      <c r="C59" s="370" t="s">
        <v>163</v>
      </c>
      <c r="D59" s="151">
        <f>SUM(D56:D58)</f>
        <v>9.6989750660586779E-2</v>
      </c>
      <c r="E59" s="325">
        <f t="shared" ref="E59:H59" si="18">SUM(E56:E58)</f>
        <v>0.1433034545751361</v>
      </c>
      <c r="F59" s="325">
        <f t="shared" si="18"/>
        <v>9.660508365412912E-2</v>
      </c>
      <c r="G59" s="325">
        <f t="shared" si="18"/>
        <v>5.4535438116234493E-2</v>
      </c>
      <c r="H59" s="325">
        <f t="shared" si="18"/>
        <v>4.4830377347957105E-2</v>
      </c>
      <c r="I59" s="287"/>
      <c r="J59" s="151">
        <f>SUM(J56:J58)</f>
        <v>0.11224883161531334</v>
      </c>
      <c r="K59" s="323">
        <f>SUM(K56:K58)</f>
        <v>8.3569538439967658E-2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tr">
        <f>ET!B62</f>
        <v>RoRE input values</v>
      </c>
      <c r="C62" s="379"/>
      <c r="D62" s="380"/>
      <c r="E62" s="380"/>
      <c r="F62" s="380"/>
      <c r="G62" s="380"/>
      <c r="H62" s="380"/>
      <c r="I62" s="381"/>
      <c r="J62" s="380"/>
      <c r="K62" s="380"/>
      <c r="L62" s="367"/>
    </row>
    <row r="63" spans="2:12">
      <c r="B63" s="382" t="str">
        <f>ET!B63</f>
        <v>Input values provided in £m 18/19 prices</v>
      </c>
      <c r="C63" s="383"/>
      <c r="D63" s="383"/>
      <c r="E63" s="383"/>
      <c r="F63" s="383"/>
      <c r="G63" s="383"/>
      <c r="H63" s="383"/>
      <c r="I63" s="383"/>
      <c r="J63" s="383"/>
      <c r="K63" s="383"/>
      <c r="L63" s="383"/>
    </row>
    <row r="65" spans="2:11">
      <c r="B65" s="308" t="str">
        <f>ET!B65</f>
        <v>Equity Return on the RAV</v>
      </c>
      <c r="C65" s="384" t="str">
        <f>ET!C65</f>
        <v>£m 18/19</v>
      </c>
      <c r="D65" s="385">
        <v>45.717324249968556</v>
      </c>
      <c r="E65" s="385">
        <v>48.98310394634742</v>
      </c>
      <c r="F65" s="385">
        <v>58.533218723136436</v>
      </c>
      <c r="G65" s="385">
        <v>68.83025861609471</v>
      </c>
      <c r="H65" s="385">
        <v>78.702350496234416</v>
      </c>
      <c r="J65" s="385">
        <v>153.23364691945241</v>
      </c>
      <c r="K65" s="385">
        <v>300.76625603178155</v>
      </c>
    </row>
    <row r="66" spans="2:11">
      <c r="B66" s="308" t="str">
        <f>ET!B66</f>
        <v>Totex outperformance</v>
      </c>
      <c r="C66" s="384" t="str">
        <f>ET!C66</f>
        <v>£m 18/19</v>
      </c>
      <c r="D66" s="385">
        <v>0</v>
      </c>
      <c r="E66" s="385">
        <v>0</v>
      </c>
      <c r="F66" s="385">
        <v>0</v>
      </c>
      <c r="G66" s="385">
        <v>0</v>
      </c>
      <c r="H66" s="385">
        <v>0</v>
      </c>
      <c r="J66" s="385">
        <v>0</v>
      </c>
      <c r="K66" s="385">
        <v>0</v>
      </c>
    </row>
    <row r="67" spans="2:11">
      <c r="B67" s="308" t="str">
        <f>ET!B67</f>
        <v>Business Plan Incentive</v>
      </c>
      <c r="C67" s="384" t="str">
        <f>ET!C67</f>
        <v>£m 18/19</v>
      </c>
      <c r="D67" s="385">
        <v>1</v>
      </c>
      <c r="E67" s="385">
        <v>1</v>
      </c>
      <c r="F67" s="385">
        <v>1</v>
      </c>
      <c r="G67" s="385">
        <v>1</v>
      </c>
      <c r="H67" s="385">
        <v>1</v>
      </c>
      <c r="J67" s="385">
        <v>3</v>
      </c>
      <c r="K67" s="385">
        <v>5</v>
      </c>
    </row>
    <row r="68" spans="2:11">
      <c r="B68" s="308" t="str">
        <f>ET!B68</f>
        <v xml:space="preserve">Energy not supplied ODI </v>
      </c>
      <c r="C68" s="384" t="str">
        <f>ET!C68</f>
        <v>£m 18/19</v>
      </c>
      <c r="D68" s="385">
        <v>1.3368199208</v>
      </c>
      <c r="E68" s="385">
        <v>1.3382095999999999</v>
      </c>
      <c r="F68" s="385">
        <v>0.39358803119999997</v>
      </c>
      <c r="G68" s="385">
        <v>1.3382095999999999</v>
      </c>
      <c r="H68" s="385">
        <v>1.3382095999999999</v>
      </c>
      <c r="J68" s="385">
        <v>3.0686175520000001</v>
      </c>
      <c r="K68" s="385">
        <v>5.7450367519999999</v>
      </c>
    </row>
    <row r="69" spans="2:11">
      <c r="B69" s="308" t="str">
        <f>ET!B69</f>
        <v xml:space="preserve">Insulation And Interruption Gas emissions ODI </v>
      </c>
      <c r="C69" s="384" t="str">
        <f>ET!C69</f>
        <v>£m 18/19</v>
      </c>
      <c r="D69" s="385">
        <v>1.1276952247973082</v>
      </c>
      <c r="E69" s="385">
        <v>1.8252037010702122</v>
      </c>
      <c r="F69" s="385">
        <v>1.200726163862698</v>
      </c>
      <c r="G69" s="385">
        <v>1.2411227653610495</v>
      </c>
      <c r="H69" s="385">
        <v>1.2600231120416772</v>
      </c>
      <c r="J69" s="385">
        <v>4.1536250897302187</v>
      </c>
      <c r="K69" s="385">
        <v>6.6547709671329454</v>
      </c>
    </row>
    <row r="70" spans="2:11">
      <c r="B70" s="308" t="str">
        <f>ET!B70</f>
        <v xml:space="preserve">Timely Connections ODI </v>
      </c>
      <c r="C70" s="384" t="str">
        <f>ET!C70</f>
        <v>£m 18/19</v>
      </c>
      <c r="D70" s="385">
        <v>0</v>
      </c>
      <c r="E70" s="385">
        <v>-1.5022831050228311E-2</v>
      </c>
      <c r="F70" s="385">
        <v>-4.6732954545454543E-3</v>
      </c>
      <c r="G70" s="385">
        <v>0</v>
      </c>
      <c r="H70" s="385">
        <v>0</v>
      </c>
      <c r="J70" s="385">
        <v>-1.9696126504773766E-2</v>
      </c>
      <c r="K70" s="385">
        <v>-1.9696126504773766E-2</v>
      </c>
    </row>
    <row r="71" spans="2:11">
      <c r="B71" s="308" t="str">
        <f>ET!B71</f>
        <v xml:space="preserve">Quality of connections satisfaction survey ODI </v>
      </c>
      <c r="C71" s="384" t="str">
        <f>ET!C71</f>
        <v>£m 18/19</v>
      </c>
      <c r="D71" s="385">
        <v>0.38012976860537828</v>
      </c>
      <c r="E71" s="385">
        <v>0.66583333333333328</v>
      </c>
      <c r="F71" s="385">
        <v>0.72472027972028041</v>
      </c>
      <c r="G71" s="385">
        <v>1.4045769230769238</v>
      </c>
      <c r="H71" s="385">
        <v>1.4045769230769238</v>
      </c>
      <c r="J71" s="385">
        <v>1.770683381658992</v>
      </c>
      <c r="K71" s="385">
        <v>4.5798372278128401</v>
      </c>
    </row>
    <row r="72" spans="2:11">
      <c r="B72" s="308" t="str">
        <f>ET!B72</f>
        <v>SO-TO Optimisation ODI</v>
      </c>
      <c r="C72" s="384" t="str">
        <f>ET!C72</f>
        <v>£m 18/19</v>
      </c>
      <c r="D72" s="385">
        <v>0.39840000000000003</v>
      </c>
      <c r="E72" s="385">
        <v>2.09</v>
      </c>
      <c r="F72" s="385">
        <v>6.5173495000000008</v>
      </c>
      <c r="G72" s="385">
        <v>0</v>
      </c>
      <c r="H72" s="385">
        <v>0</v>
      </c>
      <c r="J72" s="385">
        <v>9.0057495000000003</v>
      </c>
      <c r="K72" s="385">
        <v>9.0057495000000003</v>
      </c>
    </row>
    <row r="73" spans="2:11">
      <c r="B73" s="308" t="str">
        <f>ET!B73</f>
        <v xml:space="preserve">Environmental scorecard ODI </v>
      </c>
      <c r="C73" s="384" t="str">
        <f>ET!C73</f>
        <v>£m 18/19</v>
      </c>
      <c r="D73" s="385">
        <v>0</v>
      </c>
      <c r="E73" s="385">
        <v>0</v>
      </c>
      <c r="F73" s="385">
        <v>0</v>
      </c>
      <c r="G73" s="385">
        <v>0</v>
      </c>
      <c r="H73" s="385">
        <v>0</v>
      </c>
      <c r="J73" s="385">
        <v>0</v>
      </c>
      <c r="K73" s="385">
        <v>0</v>
      </c>
    </row>
    <row r="74" spans="2:11">
      <c r="B74" s="308" t="str">
        <f>ET!B74</f>
        <v>Network innovation input for RORE</v>
      </c>
      <c r="C74" s="384" t="str">
        <f>ET!C74</f>
        <v>£m 18/19</v>
      </c>
      <c r="D74" s="385">
        <v>-0.11693233467582054</v>
      </c>
      <c r="E74" s="385">
        <v>-9.0900222002785039E-2</v>
      </c>
      <c r="F74" s="385">
        <v>-0.10985572777758297</v>
      </c>
      <c r="G74" s="385">
        <v>-0.47354674429789789</v>
      </c>
      <c r="H74" s="385">
        <v>-0.57954822691377417</v>
      </c>
      <c r="J74" s="385">
        <v>-0.31768828445618852</v>
      </c>
      <c r="K74" s="385">
        <v>-1.3707832556678605</v>
      </c>
    </row>
    <row r="75" spans="2:11">
      <c r="B75" s="308" t="str">
        <f>ET!B75</f>
        <v>Carry-over Network innovation input for RORE</v>
      </c>
      <c r="C75" s="384" t="str">
        <f>ET!C75</f>
        <v>£m 18/19</v>
      </c>
      <c r="D75" s="385">
        <v>-1.9587118795942566E-2</v>
      </c>
      <c r="E75" s="385">
        <v>0</v>
      </c>
      <c r="F75" s="385">
        <v>0</v>
      </c>
      <c r="G75" s="385">
        <v>0</v>
      </c>
      <c r="H75" s="385">
        <v>0</v>
      </c>
      <c r="J75" s="385">
        <v>-1.9587118795942566E-2</v>
      </c>
      <c r="K75" s="385">
        <v>-1.9587118795942566E-2</v>
      </c>
    </row>
    <row r="76" spans="2:11">
      <c r="B76" s="308" t="str">
        <f>ET!B76</f>
        <v>Strategic innovation input for RORE</v>
      </c>
      <c r="C76" s="384" t="str">
        <f>ET!C76</f>
        <v>£m 18/19</v>
      </c>
      <c r="D76" s="385">
        <v>-0.10320755000000001</v>
      </c>
      <c r="E76" s="385">
        <v>-8.0226957486029093E-2</v>
      </c>
      <c r="F76" s="385">
        <v>-0.10715199088674064</v>
      </c>
      <c r="G76" s="385">
        <v>0</v>
      </c>
      <c r="H76" s="385">
        <v>0</v>
      </c>
      <c r="J76" s="385">
        <v>-0.29058649837276973</v>
      </c>
      <c r="K76" s="385">
        <v>-0.29058649837276973</v>
      </c>
    </row>
    <row r="77" spans="2:11">
      <c r="B77" s="308" t="str">
        <f>ET!B77</f>
        <v/>
      </c>
      <c r="C77" s="384" t="str">
        <f>ET!C77</f>
        <v>£m 18/19</v>
      </c>
      <c r="D77" s="385">
        <v>0</v>
      </c>
      <c r="E77" s="385">
        <v>0</v>
      </c>
      <c r="F77" s="385">
        <v>0</v>
      </c>
      <c r="G77" s="385">
        <v>0</v>
      </c>
      <c r="H77" s="385">
        <v>0</v>
      </c>
      <c r="J77" s="385">
        <v>0</v>
      </c>
      <c r="K77" s="385">
        <v>0</v>
      </c>
    </row>
    <row r="78" spans="2:11">
      <c r="B78" s="308" t="str">
        <f>ET!B78</f>
        <v/>
      </c>
      <c r="C78" s="384" t="str">
        <f>ET!C78</f>
        <v>£m 18/19</v>
      </c>
      <c r="D78" s="385">
        <v>0</v>
      </c>
      <c r="E78" s="385">
        <v>0</v>
      </c>
      <c r="F78" s="385">
        <v>0</v>
      </c>
      <c r="G78" s="385">
        <v>0</v>
      </c>
      <c r="H78" s="385">
        <v>0</v>
      </c>
      <c r="J78" s="385">
        <v>0</v>
      </c>
      <c r="K78" s="385">
        <v>0</v>
      </c>
    </row>
    <row r="79" spans="2:11">
      <c r="B79" s="308" t="str">
        <f>ET!B79</f>
        <v/>
      </c>
      <c r="C79" s="384" t="str">
        <f>ET!C79</f>
        <v>£m 18/19</v>
      </c>
      <c r="D79" s="385">
        <v>0</v>
      </c>
      <c r="E79" s="385">
        <v>0</v>
      </c>
      <c r="F79" s="385">
        <v>0</v>
      </c>
      <c r="G79" s="385">
        <v>0</v>
      </c>
      <c r="H79" s="385">
        <v>0</v>
      </c>
      <c r="J79" s="385">
        <v>0</v>
      </c>
      <c r="K79" s="385">
        <v>0</v>
      </c>
    </row>
    <row r="80" spans="2:11">
      <c r="B80" s="308" t="str">
        <f>ET!B80</f>
        <v/>
      </c>
      <c r="C80" s="384" t="str">
        <f>ET!C80</f>
        <v>£m 18/19</v>
      </c>
      <c r="D80" s="385">
        <v>0</v>
      </c>
      <c r="E80" s="385">
        <v>0</v>
      </c>
      <c r="F80" s="385">
        <v>0</v>
      </c>
      <c r="G80" s="385">
        <v>0</v>
      </c>
      <c r="H80" s="385">
        <v>0</v>
      </c>
      <c r="J80" s="385">
        <v>0</v>
      </c>
      <c r="K80" s="385">
        <v>0</v>
      </c>
    </row>
    <row r="81" spans="2:12">
      <c r="B81" s="308" t="str">
        <f>ET!B81</f>
        <v/>
      </c>
      <c r="C81" s="384" t="str">
        <f>ET!C81</f>
        <v>£m 18/19</v>
      </c>
      <c r="D81" s="385">
        <v>0</v>
      </c>
      <c r="E81" s="385">
        <v>0</v>
      </c>
      <c r="F81" s="385">
        <v>0</v>
      </c>
      <c r="G81" s="385">
        <v>0</v>
      </c>
      <c r="H81" s="385">
        <v>0</v>
      </c>
      <c r="J81" s="385">
        <v>0</v>
      </c>
      <c r="K81" s="385">
        <v>0</v>
      </c>
    </row>
    <row r="82" spans="2:12">
      <c r="B82" s="308" t="str">
        <f>ET!B82</f>
        <v>Penalties and fines (Other Activities)</v>
      </c>
      <c r="C82" s="384" t="str">
        <f>ET!C82</f>
        <v>£m 18/19</v>
      </c>
      <c r="D82" s="385">
        <v>0</v>
      </c>
      <c r="E82" s="385">
        <v>0</v>
      </c>
      <c r="F82" s="385">
        <v>0</v>
      </c>
      <c r="G82" s="385">
        <v>0</v>
      </c>
      <c r="H82" s="385">
        <v>0</v>
      </c>
      <c r="J82" s="385">
        <v>0</v>
      </c>
      <c r="K82" s="385">
        <v>0</v>
      </c>
    </row>
    <row r="83" spans="2:12">
      <c r="B83" s="306" t="str">
        <f>ET!B83</f>
        <v>RoRE - Operational performance</v>
      </c>
      <c r="C83" s="384" t="str">
        <f>ET!C83</f>
        <v>£m 18/19</v>
      </c>
      <c r="D83" s="387">
        <v>49.720642160699477</v>
      </c>
      <c r="E83" s="387">
        <v>55.716200570211917</v>
      </c>
      <c r="F83" s="387">
        <v>68.147921683800547</v>
      </c>
      <c r="G83" s="387">
        <v>73.340621160234804</v>
      </c>
      <c r="H83" s="387">
        <v>83.125611904439239</v>
      </c>
      <c r="I83" s="177"/>
      <c r="J83" s="387">
        <v>173.58476441471194</v>
      </c>
      <c r="K83" s="387">
        <v>330.05099747938601</v>
      </c>
    </row>
    <row r="84" spans="2:12">
      <c r="B84" s="308" t="str">
        <f>ET!B84</f>
        <v>Debt performance - at notional gearing</v>
      </c>
      <c r="C84" s="384" t="str">
        <f>ET!C84</f>
        <v>£m 18/19</v>
      </c>
      <c r="D84" s="385">
        <v>60.249836750334318</v>
      </c>
      <c r="E84" s="385">
        <v>106.79536558492198</v>
      </c>
      <c r="F84" s="385">
        <v>47.846209427085938</v>
      </c>
      <c r="G84" s="385">
        <v>-0.97137852331037067</v>
      </c>
      <c r="H84" s="385">
        <v>-15.561994609645865</v>
      </c>
      <c r="J84" s="385">
        <v>214.89141176234224</v>
      </c>
      <c r="K84" s="385">
        <v>198.35803862938602</v>
      </c>
    </row>
    <row r="85" spans="2:12">
      <c r="B85" s="308" t="str">
        <f>ET!B85</f>
        <v>Debt performance - impact of actual gearing</v>
      </c>
      <c r="C85" s="384" t="str">
        <f>ET!C85</f>
        <v>£m 18/19</v>
      </c>
      <c r="D85" s="385">
        <v>-0.46856949304312678</v>
      </c>
      <c r="E85" s="385">
        <v>7.7826675878171159E-2</v>
      </c>
      <c r="F85" s="385">
        <v>-0.24473314034026572</v>
      </c>
      <c r="G85" s="385">
        <v>0.87311041558335489</v>
      </c>
      <c r="H85" s="385">
        <v>0.29664474864105728</v>
      </c>
      <c r="J85" s="385">
        <v>-0.63547595750522134</v>
      </c>
      <c r="K85" s="385">
        <v>0.53427920671919082</v>
      </c>
    </row>
    <row r="86" spans="2:12">
      <c r="B86" s="308" t="str">
        <f>ET!B86</f>
        <v>Tax performance - at notional gearing</v>
      </c>
      <c r="C86" s="384" t="str">
        <f>ET!C86</f>
        <v>£m 18/19</v>
      </c>
      <c r="D86" s="385">
        <v>-3.3109565985869036</v>
      </c>
      <c r="E86" s="385">
        <v>1.9433499714810569</v>
      </c>
      <c r="F86" s="385">
        <v>1.0957787633015061</v>
      </c>
      <c r="G86" s="385">
        <v>1.3404560295647789</v>
      </c>
      <c r="H86" s="385">
        <v>1.0307890782101181</v>
      </c>
      <c r="J86" s="385">
        <v>-0.27182786380434054</v>
      </c>
      <c r="K86" s="385">
        <v>2.0994172439705565</v>
      </c>
    </row>
    <row r="87" spans="2:12">
      <c r="B87" s="308" t="str">
        <f>ET!B87</f>
        <v>Tax performance - impact of actual gearing</v>
      </c>
      <c r="C87" s="384" t="str">
        <f>ET!C87</f>
        <v>£m 18/19</v>
      </c>
      <c r="D87" s="385">
        <v>8.9028203678193307E-2</v>
      </c>
      <c r="E87" s="385">
        <v>-1.4787068416850957E-2</v>
      </c>
      <c r="F87" s="385">
        <v>6.1183285085066874E-2</v>
      </c>
      <c r="G87" s="385">
        <v>-0.21827760389583872</v>
      </c>
      <c r="H87" s="385">
        <v>-7.4161187160264763E-2</v>
      </c>
      <c r="J87" s="385">
        <v>0.13542442034640922</v>
      </c>
      <c r="K87" s="385">
        <v>-0.15701437070969426</v>
      </c>
    </row>
    <row r="88" spans="2:12">
      <c r="B88" s="306" t="str">
        <f>ET!B88</f>
        <v>RoRE - including financing and tax</v>
      </c>
      <c r="C88" s="384" t="str">
        <f>ET!C88</f>
        <v>£m 18/19</v>
      </c>
      <c r="D88" s="387">
        <v>106.27998102308197</v>
      </c>
      <c r="E88" s="387">
        <v>164.51795573407628</v>
      </c>
      <c r="F88" s="387">
        <v>116.9063600189328</v>
      </c>
      <c r="G88" s="387">
        <v>74.36453147817673</v>
      </c>
      <c r="H88" s="387">
        <v>68.81688993448428</v>
      </c>
      <c r="I88" s="177"/>
      <c r="J88" s="387">
        <v>387.70429677609104</v>
      </c>
      <c r="K88" s="387">
        <v>530.88571818875209</v>
      </c>
    </row>
    <row r="89" spans="2:12">
      <c r="C89" s="388"/>
      <c r="D89" s="390"/>
    </row>
    <row r="90" spans="2:12">
      <c r="B90" s="308" t="str">
        <f>ET!B90</f>
        <v>NPV-neutral equity element of RAV</v>
      </c>
      <c r="C90" s="384" t="str">
        <f>ET!C90</f>
        <v>£m 18/19</v>
      </c>
      <c r="D90" s="385">
        <v>1077.2364978658875</v>
      </c>
      <c r="E90" s="385">
        <v>1149.4039015545791</v>
      </c>
      <c r="F90" s="385">
        <v>1192.1993306059856</v>
      </c>
      <c r="G90" s="385">
        <v>1323.3656883848964</v>
      </c>
      <c r="H90" s="385">
        <v>1525.5566296891293</v>
      </c>
    </row>
    <row r="91" spans="2:12">
      <c r="B91" s="308" t="str">
        <f>ET!B91</f>
        <v>Equity RAV based on actual gearing</v>
      </c>
      <c r="C91" s="384" t="str">
        <f>ET!C91</f>
        <v>£m 18/19</v>
      </c>
      <c r="D91" s="385">
        <v>1095.7856917789809</v>
      </c>
      <c r="E91" s="385">
        <v>1148.0390073068136</v>
      </c>
      <c r="F91" s="385">
        <v>1210.1470812601067</v>
      </c>
      <c r="G91" s="385">
        <v>1363.6001478466044</v>
      </c>
      <c r="H91" s="385">
        <v>1535.0504279799516</v>
      </c>
    </row>
    <row r="94" spans="2:12">
      <c r="B94" s="306" t="s">
        <v>208</v>
      </c>
      <c r="D94" s="307" t="str">
        <f>ET!D94</f>
        <v>Actuals</v>
      </c>
      <c r="E94" s="307" t="str">
        <f>ET!E94</f>
        <v>Actuals</v>
      </c>
      <c r="F94" s="307" t="str">
        <f>ET!F94</f>
        <v>Actuals</v>
      </c>
      <c r="G94" s="307" t="str">
        <f>ET!G94</f>
        <v>Actuals</v>
      </c>
      <c r="H94" s="307" t="str">
        <f>ET!H94</f>
        <v>Actuals</v>
      </c>
    </row>
    <row r="95" spans="2:12" ht="22.8">
      <c r="D95" s="309">
        <f>ET!D95</f>
        <v>2022</v>
      </c>
      <c r="E95" s="309">
        <f>ET!E95</f>
        <v>2023</v>
      </c>
      <c r="F95" s="309">
        <f>ET!F95</f>
        <v>2024</v>
      </c>
      <c r="G95" s="309">
        <f>ET!G95</f>
        <v>2025</v>
      </c>
      <c r="H95" s="309">
        <f>ET!H95</f>
        <v>2026</v>
      </c>
      <c r="J95" s="310" t="str">
        <f>J7</f>
        <v>Cumulative to 2024</v>
      </c>
      <c r="K95" s="311" t="str">
        <f>ET!K95</f>
        <v>RIIO-2 period</v>
      </c>
    </row>
    <row r="96" spans="2:12">
      <c r="B96" s="308" t="s">
        <v>154</v>
      </c>
      <c r="C96" s="178" t="s">
        <v>178</v>
      </c>
      <c r="D96" s="326">
        <v>222.3681454160255</v>
      </c>
      <c r="E96" s="326">
        <v>235.25421873287033</v>
      </c>
      <c r="F96" s="326">
        <v>421.93419418061524</v>
      </c>
      <c r="G96" s="326">
        <v>708.73399725473359</v>
      </c>
      <c r="H96" s="326">
        <v>776.94697048573732</v>
      </c>
      <c r="I96" s="308"/>
      <c r="J96" s="326">
        <v>879.55655832951106</v>
      </c>
      <c r="K96" s="326">
        <v>2365.2375260699819</v>
      </c>
      <c r="L96" s="308"/>
    </row>
    <row r="97" spans="2:12" ht="22.8">
      <c r="B97" s="312" t="s">
        <v>155</v>
      </c>
      <c r="C97" s="178" t="s">
        <v>178</v>
      </c>
      <c r="D97" s="326">
        <v>267.66736537579715</v>
      </c>
      <c r="E97" s="326">
        <v>352.69081311094538</v>
      </c>
      <c r="F97" s="326">
        <v>468.75610660064893</v>
      </c>
      <c r="G97" s="326">
        <v>616.60954456259901</v>
      </c>
      <c r="H97" s="326">
        <v>675.75251500438071</v>
      </c>
      <c r="I97" s="308"/>
      <c r="J97" s="326">
        <v>1089.1142850873914</v>
      </c>
      <c r="K97" s="326">
        <v>2381.4763446543711</v>
      </c>
      <c r="L97" s="308"/>
    </row>
    <row r="98" spans="2:12">
      <c r="B98" s="306" t="s">
        <v>156</v>
      </c>
      <c r="C98" s="178" t="s">
        <v>178</v>
      </c>
      <c r="D98" s="326">
        <v>45.299219959771648</v>
      </c>
      <c r="E98" s="326">
        <v>117.43659437807509</v>
      </c>
      <c r="F98" s="326">
        <v>46.821912420033669</v>
      </c>
      <c r="G98" s="326">
        <v>-92.124452692134582</v>
      </c>
      <c r="H98" s="326">
        <v>-101.19445548135656</v>
      </c>
      <c r="I98" s="308"/>
      <c r="J98" s="326">
        <v>209.55772675788035</v>
      </c>
      <c r="K98" s="326">
        <v>16.238818584389264</v>
      </c>
      <c r="L98" s="308"/>
    </row>
    <row r="99" spans="2:12">
      <c r="B99" s="308" t="s">
        <v>157</v>
      </c>
      <c r="C99" s="178" t="s">
        <v>178</v>
      </c>
      <c r="D99" s="326">
        <v>-45.299219959771648</v>
      </c>
      <c r="E99" s="326">
        <v>-117.43659437807509</v>
      </c>
      <c r="F99" s="326">
        <v>-46.821912420033669</v>
      </c>
      <c r="G99" s="326">
        <v>92.124452692134582</v>
      </c>
      <c r="H99" s="326">
        <v>101.19445548135656</v>
      </c>
      <c r="I99" s="308"/>
      <c r="J99" s="326">
        <v>-209.5577267578804</v>
      </c>
      <c r="K99" s="326">
        <v>-16.238818584389264</v>
      </c>
      <c r="L99" s="308"/>
    </row>
    <row r="100" spans="2:12">
      <c r="B100" s="306" t="s">
        <v>158</v>
      </c>
      <c r="C100" s="178" t="s">
        <v>178</v>
      </c>
      <c r="D100" s="303">
        <f>D98+D99</f>
        <v>0</v>
      </c>
      <c r="E100" s="303">
        <f t="shared" ref="E100:H100" si="19">E98+E99</f>
        <v>0</v>
      </c>
      <c r="F100" s="303">
        <f t="shared" si="19"/>
        <v>0</v>
      </c>
      <c r="G100" s="303">
        <f t="shared" si="19"/>
        <v>0</v>
      </c>
      <c r="H100" s="303">
        <f t="shared" si="19"/>
        <v>0</v>
      </c>
      <c r="I100" s="308"/>
      <c r="J100" s="303">
        <f>J98+J99</f>
        <v>0</v>
      </c>
      <c r="K100" s="303">
        <f>K98+K99</f>
        <v>0</v>
      </c>
      <c r="L100" s="308"/>
    </row>
    <row r="101" spans="2:12">
      <c r="B101" s="306" t="s">
        <v>159</v>
      </c>
      <c r="C101" s="314" t="s">
        <v>163</v>
      </c>
      <c r="D101" s="151">
        <f>D100/D97</f>
        <v>0</v>
      </c>
      <c r="E101" s="151">
        <f>E100/E97</f>
        <v>0</v>
      </c>
      <c r="F101" s="151">
        <f t="shared" ref="F101:H101" si="20">F100/F97</f>
        <v>0</v>
      </c>
      <c r="G101" s="151">
        <f t="shared" si="20"/>
        <v>0</v>
      </c>
      <c r="H101" s="151">
        <f t="shared" si="20"/>
        <v>0</v>
      </c>
      <c r="J101" s="151">
        <f>J100/J97</f>
        <v>0</v>
      </c>
      <c r="K101" s="151">
        <f>K100/K97</f>
        <v>0</v>
      </c>
    </row>
  </sheetData>
  <phoneticPr fontId="218" type="noConversion"/>
  <conditionalFormatting sqref="D6:G7 D94:G95">
    <cfRule type="expression" dxfId="28" priority="3">
      <formula>AND(D$6="Actuals",E$6="Forecast")</formula>
    </cfRule>
  </conditionalFormatting>
  <conditionalFormatting sqref="H6:H7 H94:H95">
    <cfRule type="expression" dxfId="27" priority="48">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000"/>
  </sheetPr>
  <dimension ref="A1:M101"/>
  <sheetViews>
    <sheetView zoomScale="80" zoomScaleNormal="80" workbookViewId="0"/>
  </sheetViews>
  <sheetFormatPr defaultColWidth="9.26953125" defaultRowHeight="11.4"/>
  <cols>
    <col min="1" max="1" width="7" style="104" customWidth="1"/>
    <col min="2" max="2" width="66.26953125" style="308" bestFit="1" customWidth="1"/>
    <col min="3" max="3" width="8.6328125" style="104" bestFit="1" customWidth="1"/>
    <col min="4" max="8" width="9.08984375" style="104" customWidth="1"/>
    <col min="9" max="9" width="3.6328125" style="104" customWidth="1"/>
    <col min="10" max="11" width="13.7265625" style="104" customWidth="1"/>
    <col min="12" max="12" width="5.08984375" style="104" customWidth="1"/>
    <col min="13" max="16384" width="9.26953125" style="104"/>
  </cols>
  <sheetData>
    <row r="1" spans="1:13" s="41" customFormat="1" ht="57" customHeight="1"/>
    <row r="2" spans="1:13" s="439" customFormat="1" ht="15.6">
      <c r="A2" s="419" t="s">
        <v>162</v>
      </c>
      <c r="B2" s="435"/>
      <c r="C2" s="436"/>
      <c r="D2" s="436"/>
      <c r="E2" s="436"/>
      <c r="F2" s="436"/>
      <c r="G2" s="436"/>
      <c r="H2" s="436"/>
      <c r="I2" s="437"/>
      <c r="J2" s="437"/>
      <c r="K2" s="437"/>
      <c r="L2" s="438" t="s">
        <v>30</v>
      </c>
    </row>
    <row r="3" spans="1:13" s="439" customFormat="1" ht="15.6">
      <c r="A3" s="425" t="s">
        <v>20</v>
      </c>
      <c r="B3" s="440"/>
      <c r="C3" s="441"/>
      <c r="D3" s="441"/>
      <c r="E3" s="441"/>
      <c r="F3" s="441"/>
      <c r="G3" s="441"/>
      <c r="H3" s="441"/>
      <c r="I3" s="442"/>
      <c r="J3" s="442"/>
      <c r="K3" s="442"/>
      <c r="L3" s="443"/>
    </row>
    <row r="4" spans="1:13" s="439" customFormat="1" ht="15.6">
      <c r="A4" s="430">
        <f>Data!$B$3</f>
        <v>2024</v>
      </c>
      <c r="B4" s="444"/>
      <c r="C4" s="445"/>
      <c r="D4" s="445"/>
      <c r="E4" s="445"/>
      <c r="F4" s="445"/>
      <c r="G4" s="445"/>
      <c r="H4" s="445"/>
      <c r="I4" s="446"/>
      <c r="J4" s="446"/>
      <c r="K4" s="446"/>
      <c r="L4" s="447"/>
    </row>
    <row r="5" spans="1:13" customFormat="1" ht="12.75" customHeight="1">
      <c r="B5" s="8"/>
    </row>
    <row r="6" spans="1:13">
      <c r="D6" s="359" t="str">
        <f>IF(D7&lt;=Data!$B$3,"Actuals","Forecast")</f>
        <v>Actuals</v>
      </c>
      <c r="E6" s="360" t="str">
        <f>IF(E7&lt;=Data!$B$3,"Actuals","Forecast")</f>
        <v>Actuals</v>
      </c>
      <c r="F6" s="360" t="str">
        <f>IF(F7&lt;=Data!$B$3,"Actuals","Forecast")</f>
        <v>Actuals</v>
      </c>
      <c r="G6" s="360" t="str">
        <f>IF(G7&lt;=Data!$B$3,"Actuals","Forecast")</f>
        <v>Forecast</v>
      </c>
      <c r="H6" s="360" t="str">
        <f>IF(H7&lt;=Data!$B$3,"Actuals","Forecast")</f>
        <v>Forecast</v>
      </c>
      <c r="I6" s="358"/>
      <c r="J6" s="358"/>
    </row>
    <row r="7" spans="1:13" ht="31.5" customHeight="1">
      <c r="C7" s="361"/>
      <c r="D7" s="362">
        <v>2022</v>
      </c>
      <c r="E7" s="363">
        <f>D7+1</f>
        <v>2023</v>
      </c>
      <c r="F7" s="363">
        <f t="shared" ref="F7:H7" si="0">E7+1</f>
        <v>2024</v>
      </c>
      <c r="G7" s="363">
        <f t="shared" si="0"/>
        <v>2025</v>
      </c>
      <c r="H7" s="363">
        <f t="shared" si="0"/>
        <v>2026</v>
      </c>
      <c r="I7" s="345"/>
      <c r="J7" s="364" t="str">
        <f>"Cumulative to "&amp;Data!$B$3</f>
        <v>Cumulative to 2024</v>
      </c>
      <c r="K7" s="365" t="s">
        <v>59</v>
      </c>
    </row>
    <row r="8" spans="1:13">
      <c r="C8" s="361"/>
      <c r="D8" s="361"/>
      <c r="E8" s="361"/>
      <c r="F8" s="361"/>
      <c r="G8" s="361"/>
      <c r="H8" s="361"/>
      <c r="I8" s="361"/>
      <c r="J8" s="361"/>
      <c r="K8" s="361"/>
      <c r="L8" s="361"/>
    </row>
    <row r="9" spans="1:13">
      <c r="B9" s="366" t="s">
        <v>56</v>
      </c>
      <c r="C9" s="367"/>
      <c r="D9" s="367"/>
      <c r="E9" s="367"/>
      <c r="F9" s="367"/>
      <c r="G9" s="367"/>
      <c r="H9" s="367"/>
      <c r="I9" s="368"/>
      <c r="J9" s="367"/>
      <c r="K9" s="367"/>
      <c r="L9" s="367"/>
    </row>
    <row r="10" spans="1:13">
      <c r="B10" s="147"/>
      <c r="I10" s="345"/>
    </row>
    <row r="11" spans="1:13">
      <c r="B11" s="369" t="str">
        <f>ET!B11</f>
        <v>Allowed Equity Return</v>
      </c>
      <c r="C11" s="370" t="s">
        <v>163</v>
      </c>
      <c r="D11" s="284">
        <f t="shared" ref="D11:H20" si="1">D65/D$90</f>
        <v>4.2439449777777784E-2</v>
      </c>
      <c r="E11" s="371">
        <f t="shared" si="1"/>
        <v>4.2616093333333341E-2</v>
      </c>
      <c r="F11" s="371">
        <f t="shared" si="1"/>
        <v>4.909683911111111E-2</v>
      </c>
      <c r="G11" s="371">
        <f t="shared" si="1"/>
        <v>5.2011518222222233E-2</v>
      </c>
      <c r="H11" s="371">
        <f t="shared" si="1"/>
        <v>5.158926844444444E-2</v>
      </c>
      <c r="I11" s="194"/>
      <c r="J11" s="284">
        <f>AVERAGE(D65:INDEX(D65:H65,0,MATCH(Data!$B$3,$D$7:$H$7,0)))/AVERAGE($D$90:INDEX($D$90:$H$90,0,MATCH(Data!$B$3,$D$7:$H$7,0)))</f>
        <v>4.5023619388367339E-2</v>
      </c>
      <c r="K11" s="285">
        <f t="shared" ref="K11:K20" si="2">AVERAGE(D65:H65)/AVERAGE($D$90:$H$90)</f>
        <v>4.8423104360990454E-2</v>
      </c>
    </row>
    <row r="12" spans="1:13">
      <c r="B12" s="369" t="str">
        <f>ET!B12</f>
        <v>Totex outperformance</v>
      </c>
      <c r="C12" s="370" t="s">
        <v>163</v>
      </c>
      <c r="D12" s="282">
        <f t="shared" si="1"/>
        <v>2.1952201705165573E-2</v>
      </c>
      <c r="E12" s="283">
        <f t="shared" si="1"/>
        <v>4.7920081004121623E-2</v>
      </c>
      <c r="F12" s="283">
        <f t="shared" si="1"/>
        <v>1.7684438229159074E-2</v>
      </c>
      <c r="G12" s="283">
        <f t="shared" si="1"/>
        <v>-1.2579756513434216E-3</v>
      </c>
      <c r="H12" s="283">
        <f t="shared" si="1"/>
        <v>-3.0998436217541721E-2</v>
      </c>
      <c r="I12" s="194"/>
      <c r="J12" s="284">
        <f>AVERAGE(D66:INDEX(D66:H66,0,MATCH(Data!$B$3,$D$7:$H$7,0)))/AVERAGE($D$90:INDEX($D$90:$H$90,0,MATCH(Data!$B$3,$D$7:$H$7,0)))</f>
        <v>2.9285667577062156E-2</v>
      </c>
      <c r="K12" s="285">
        <f t="shared" si="2"/>
        <v>5.5537211841843242E-3</v>
      </c>
      <c r="M12" s="194"/>
    </row>
    <row r="13" spans="1:13">
      <c r="B13" s="369" t="str">
        <f>ET!B13</f>
        <v>Business Plan Incentive</v>
      </c>
      <c r="C13" s="370" t="s">
        <v>163</v>
      </c>
      <c r="D13" s="282">
        <f t="shared" si="1"/>
        <v>3.127812046899573E-3</v>
      </c>
      <c r="E13" s="283">
        <f t="shared" si="1"/>
        <v>2.507031928466413E-3</v>
      </c>
      <c r="F13" s="283">
        <f t="shared" si="1"/>
        <v>2.2799996980949599E-3</v>
      </c>
      <c r="G13" s="283">
        <f t="shared" si="1"/>
        <v>1.9281662822235044E-3</v>
      </c>
      <c r="H13" s="283">
        <f t="shared" si="1"/>
        <v>1.5274894582113839E-3</v>
      </c>
      <c r="I13" s="194"/>
      <c r="J13" s="284">
        <f>AVERAGE(D67:INDEX(D67:H67,0,MATCH(Data!$B$3,$D$7:$H$7,0)))/AVERAGE($D$90:INDEX($D$90:$H$90,0,MATCH(Data!$B$3,$D$7:$H$7,0)))</f>
        <v>2.5924939136987455E-3</v>
      </c>
      <c r="K13" s="285">
        <f t="shared" si="2"/>
        <v>2.1454776531585145E-3</v>
      </c>
    </row>
    <row r="14" spans="1:13">
      <c r="B14" s="369" t="str">
        <f>ET!B14</f>
        <v xml:space="preserve">Energy not supplied ODI </v>
      </c>
      <c r="C14" s="370" t="s">
        <v>163</v>
      </c>
      <c r="D14" s="282">
        <f t="shared" si="1"/>
        <v>5.5314930116279128E-4</v>
      </c>
      <c r="E14" s="283">
        <f t="shared" si="1"/>
        <v>4.433651825718309E-4</v>
      </c>
      <c r="F14" s="283">
        <f t="shared" si="1"/>
        <v>3.8222395150079542E-4</v>
      </c>
      <c r="G14" s="283">
        <f t="shared" si="1"/>
        <v>3.4099358131023719E-4</v>
      </c>
      <c r="H14" s="283">
        <f t="shared" si="1"/>
        <v>2.7013443060963009E-4</v>
      </c>
      <c r="I14" s="194"/>
      <c r="J14" s="284">
        <f>AVERAGE(D68:INDEX(D68:H68,0,MATCH(Data!$B$3,$D$7:$H$7,0)))/AVERAGE($D$90:INDEX($D$90:$H$90,0,MATCH(Data!$B$3,$D$7:$H$7,0)))</f>
        <v>4.505230588465164E-4</v>
      </c>
      <c r="K14" s="285">
        <f t="shared" si="2"/>
        <v>3.7547431957895178E-4</v>
      </c>
    </row>
    <row r="15" spans="1:13">
      <c r="B15" s="369" t="str">
        <f>ET!B15</f>
        <v xml:space="preserve">Insulation And Interruption Gas emissions ODI </v>
      </c>
      <c r="C15" s="370" t="s">
        <v>163</v>
      </c>
      <c r="D15" s="282">
        <f t="shared" si="1"/>
        <v>1.9430143166451397E-4</v>
      </c>
      <c r="E15" s="283">
        <f t="shared" si="1"/>
        <v>5.6152817609500699E-5</v>
      </c>
      <c r="F15" s="283">
        <f t="shared" si="1"/>
        <v>1.5006796215363878E-4</v>
      </c>
      <c r="G15" s="283">
        <f t="shared" si="1"/>
        <v>0</v>
      </c>
      <c r="H15" s="283">
        <f t="shared" si="1"/>
        <v>0</v>
      </c>
      <c r="I15" s="194"/>
      <c r="J15" s="284">
        <f>AVERAGE(D69:INDEX(D69:H69,0,MATCH(Data!$B$3,$D$7:$H$7,0)))/AVERAGE($D$90:INDEX($D$90:$H$90,0,MATCH(Data!$B$3,$D$7:$H$7,0)))</f>
        <v>1.2991676193050563E-4</v>
      </c>
      <c r="K15" s="285">
        <f t="shared" si="2"/>
        <v>6.4509353257059389E-5</v>
      </c>
    </row>
    <row r="16" spans="1:13">
      <c r="B16" s="369" t="str">
        <f>ET!B16</f>
        <v xml:space="preserve">Timely Connections ODI </v>
      </c>
      <c r="C16" s="370" t="s">
        <v>163</v>
      </c>
      <c r="D16" s="282">
        <f t="shared" si="1"/>
        <v>0</v>
      </c>
      <c r="E16" s="283">
        <f t="shared" si="1"/>
        <v>0</v>
      </c>
      <c r="F16" s="283">
        <f t="shared" si="1"/>
        <v>0</v>
      </c>
      <c r="G16" s="283">
        <f t="shared" si="1"/>
        <v>0</v>
      </c>
      <c r="H16" s="283">
        <f t="shared" si="1"/>
        <v>0</v>
      </c>
      <c r="I16" s="194"/>
      <c r="J16" s="284">
        <f>AVERAGE(D70:INDEX(D70:H70,0,MATCH(Data!$B$3,$D$7:$H$7,0)))/AVERAGE($D$90:INDEX($D$90:$H$90,0,MATCH(Data!$B$3,$D$7:$H$7,0)))</f>
        <v>0</v>
      </c>
      <c r="K16" s="285">
        <f t="shared" si="2"/>
        <v>0</v>
      </c>
    </row>
    <row r="17" spans="2:11">
      <c r="B17" s="369" t="str">
        <f>ET!B17</f>
        <v xml:space="preserve">Quality of connections satisfaction survey ODI </v>
      </c>
      <c r="C17" s="370" t="s">
        <v>163</v>
      </c>
      <c r="D17" s="282">
        <f t="shared" si="1"/>
        <v>3.0305826437422296E-4</v>
      </c>
      <c r="E17" s="283">
        <f t="shared" si="1"/>
        <v>1.0353681197426546E-3</v>
      </c>
      <c r="F17" s="283">
        <f t="shared" si="1"/>
        <v>9.5259371572301087E-4</v>
      </c>
      <c r="G17" s="283">
        <f t="shared" si="1"/>
        <v>7.711849060210394E-4</v>
      </c>
      <c r="H17" s="283">
        <f t="shared" si="1"/>
        <v>6.7881237165250325E-4</v>
      </c>
      <c r="I17" s="194"/>
      <c r="J17" s="284">
        <f>AVERAGE(D71:INDEX(D71:H71,0,MATCH(Data!$B$3,$D$7:$H$7,0)))/AVERAGE($D$90:INDEX($D$90:$H$90,0,MATCH(Data!$B$3,$D$7:$H$7,0)))</f>
        <v>8.0166944964320957E-4</v>
      </c>
      <c r="K17" s="285">
        <f t="shared" si="2"/>
        <v>7.6037293429427209E-4</v>
      </c>
    </row>
    <row r="18" spans="2:11">
      <c r="B18" s="369" t="str">
        <f>ET!B18</f>
        <v>SO-TO Optimisation ODI</v>
      </c>
      <c r="C18" s="370" t="s">
        <v>163</v>
      </c>
      <c r="D18" s="282">
        <f t="shared" si="1"/>
        <v>1.9934244590510801E-4</v>
      </c>
      <c r="E18" s="283">
        <f t="shared" si="1"/>
        <v>6.8969241498388243E-4</v>
      </c>
      <c r="F18" s="283">
        <f t="shared" si="1"/>
        <v>1.8961870545364027E-3</v>
      </c>
      <c r="G18" s="283">
        <f t="shared" si="1"/>
        <v>0</v>
      </c>
      <c r="H18" s="283">
        <f t="shared" si="1"/>
        <v>0</v>
      </c>
      <c r="I18" s="194"/>
      <c r="J18" s="284">
        <f>AVERAGE(D72:INDEX(D72:H72,0,MATCH(Data!$B$3,$D$7:$H$7,0)))/AVERAGE($D$90:INDEX($D$90:$H$90,0,MATCH(Data!$B$3,$D$7:$H$7,0)))</f>
        <v>1.0115016802507545E-3</v>
      </c>
      <c r="K18" s="285">
        <f t="shared" si="2"/>
        <v>5.0225481486606736E-4</v>
      </c>
    </row>
    <row r="19" spans="2:11">
      <c r="B19" s="369" t="str">
        <f>ET!B19</f>
        <v xml:space="preserve">Environmental scorecard ODI </v>
      </c>
      <c r="C19" s="370" t="s">
        <v>163</v>
      </c>
      <c r="D19" s="282">
        <f t="shared" si="1"/>
        <v>0</v>
      </c>
      <c r="E19" s="283">
        <f t="shared" si="1"/>
        <v>0</v>
      </c>
      <c r="F19" s="283">
        <f t="shared" si="1"/>
        <v>0</v>
      </c>
      <c r="G19" s="283">
        <f t="shared" si="1"/>
        <v>0</v>
      </c>
      <c r="H19" s="283">
        <f t="shared" si="1"/>
        <v>0</v>
      </c>
      <c r="I19" s="194"/>
      <c r="J19" s="284">
        <f>AVERAGE(D73:INDEX(D73:H73,0,MATCH(Data!$B$3,$D$7:$H$7,0)))/AVERAGE($D$90:INDEX($D$90:$H$90,0,MATCH(Data!$B$3,$D$7:$H$7,0)))</f>
        <v>0</v>
      </c>
      <c r="K19" s="285">
        <f t="shared" si="2"/>
        <v>0</v>
      </c>
    </row>
    <row r="20" spans="2:11">
      <c r="B20" s="369" t="str">
        <f>ET!B20</f>
        <v>Network innovation input for RORE</v>
      </c>
      <c r="C20" s="370" t="s">
        <v>163</v>
      </c>
      <c r="D20" s="282">
        <f t="shared" si="1"/>
        <v>-7.9523874398050135E-6</v>
      </c>
      <c r="E20" s="283">
        <f t="shared" si="1"/>
        <v>-4.7295447749687215E-5</v>
      </c>
      <c r="F20" s="283">
        <f t="shared" si="1"/>
        <v>-8.0741138900334924E-5</v>
      </c>
      <c r="G20" s="283">
        <f t="shared" si="1"/>
        <v>-1.6628905923979118E-4</v>
      </c>
      <c r="H20" s="283">
        <f t="shared" si="1"/>
        <v>-6.2739328500983208E-5</v>
      </c>
      <c r="I20" s="194"/>
      <c r="J20" s="284">
        <f>AVERAGE(D74:INDEX(D74:H74,0,MATCH(Data!$B$3,$D$7:$H$7,0)))/AVERAGE($D$90:INDEX($D$90:$H$90,0,MATCH(Data!$B$3,$D$7:$H$7,0)))</f>
        <v>-4.9102160404313088E-5</v>
      </c>
      <c r="K20" s="285">
        <f t="shared" si="2"/>
        <v>-7.9011910815304342E-5</v>
      </c>
    </row>
    <row r="21" spans="2:11">
      <c r="B21" s="369" t="str">
        <f>ET!B21</f>
        <v>Carry-over Network innovation input for RORE</v>
      </c>
      <c r="C21" s="370" t="s">
        <v>163</v>
      </c>
      <c r="D21" s="282">
        <f t="shared" ref="D21:H21" si="3">D75/D$90</f>
        <v>-3.4826538198176911E-5</v>
      </c>
      <c r="E21" s="283">
        <f t="shared" si="3"/>
        <v>0</v>
      </c>
      <c r="F21" s="283">
        <f t="shared" si="3"/>
        <v>0</v>
      </c>
      <c r="G21" s="283">
        <f t="shared" si="3"/>
        <v>0</v>
      </c>
      <c r="H21" s="283">
        <f t="shared" si="3"/>
        <v>0</v>
      </c>
      <c r="I21" s="194"/>
      <c r="J21" s="284">
        <f>AVERAGE(D75:INDEX(D75:H75,0,MATCH(Data!$B$3,$D$7:$H$7,0)))/AVERAGE($D$90:INDEX($D$90:$H$90,0,MATCH(Data!$B$3,$D$7:$H$7,0)))</f>
        <v>-9.6220176660409836E-6</v>
      </c>
      <c r="K21" s="285">
        <f t="shared" ref="K21:K22" si="4">AVERAGE(D75:H75)/AVERAGE($D$90:$H$90)</f>
        <v>-4.7777525196966571E-6</v>
      </c>
    </row>
    <row r="22" spans="2:11">
      <c r="B22" s="369" t="str">
        <f>ET!B22</f>
        <v>Strategic innovation input for RORE</v>
      </c>
      <c r="C22" s="370" t="s">
        <v>163</v>
      </c>
      <c r="D22" s="282">
        <f t="shared" ref="D22:H22" si="5">D76/D$90</f>
        <v>-1.1106286572684458E-5</v>
      </c>
      <c r="E22" s="283">
        <f t="shared" si="5"/>
        <v>-4.355136223325489E-5</v>
      </c>
      <c r="F22" s="283">
        <f t="shared" si="5"/>
        <v>-1.1133423560161083E-4</v>
      </c>
      <c r="G22" s="283">
        <f t="shared" si="5"/>
        <v>-1.4896032689569314E-4</v>
      </c>
      <c r="H22" s="283">
        <f t="shared" si="5"/>
        <v>-2.8000406642128377E-4</v>
      </c>
      <c r="I22" s="194"/>
      <c r="J22" s="284">
        <f>AVERAGE(D76:INDEX(D76:H76,0,MATCH(Data!$B$3,$D$7:$H$7,0)))/AVERAGE($D$90:INDEX($D$90:$H$90,0,MATCH(Data!$B$3,$D$7:$H$7,0)))</f>
        <v>-6.027834418948315E-5</v>
      </c>
      <c r="K22" s="285">
        <f t="shared" si="4"/>
        <v>-1.4173806787471613E-4</v>
      </c>
    </row>
    <row r="23" spans="2:11">
      <c r="B23" s="369" t="str">
        <f>ET!B23</f>
        <v/>
      </c>
      <c r="C23" s="370" t="s">
        <v>163</v>
      </c>
      <c r="D23" s="460"/>
      <c r="E23" s="461"/>
      <c r="F23" s="461"/>
      <c r="G23" s="461"/>
      <c r="H23" s="461"/>
      <c r="I23" s="194"/>
      <c r="J23" s="466"/>
      <c r="K23" s="467"/>
    </row>
    <row r="24" spans="2:11">
      <c r="B24" s="369" t="str">
        <f>ET!B24</f>
        <v/>
      </c>
      <c r="C24" s="370" t="s">
        <v>163</v>
      </c>
      <c r="D24" s="460"/>
      <c r="E24" s="461"/>
      <c r="F24" s="461"/>
      <c r="G24" s="461"/>
      <c r="H24" s="461"/>
      <c r="I24" s="194"/>
      <c r="J24" s="466"/>
      <c r="K24" s="467"/>
    </row>
    <row r="25" spans="2:11">
      <c r="B25" s="369" t="str">
        <f>ET!B25</f>
        <v/>
      </c>
      <c r="C25" s="370" t="s">
        <v>163</v>
      </c>
      <c r="D25" s="460"/>
      <c r="E25" s="461"/>
      <c r="F25" s="461"/>
      <c r="G25" s="461"/>
      <c r="H25" s="461"/>
      <c r="I25" s="194"/>
      <c r="J25" s="466"/>
      <c r="K25" s="467"/>
    </row>
    <row r="26" spans="2:11">
      <c r="B26" s="369" t="str">
        <f>ET!B26</f>
        <v/>
      </c>
      <c r="C26" s="370" t="s">
        <v>163</v>
      </c>
      <c r="D26" s="460"/>
      <c r="E26" s="461"/>
      <c r="F26" s="461"/>
      <c r="G26" s="461"/>
      <c r="H26" s="461"/>
      <c r="I26" s="194"/>
      <c r="J26" s="466"/>
      <c r="K26" s="467"/>
    </row>
    <row r="27" spans="2:11">
      <c r="B27" s="369" t="str">
        <f>ET!B27</f>
        <v/>
      </c>
      <c r="C27" s="370" t="s">
        <v>163</v>
      </c>
      <c r="D27" s="460"/>
      <c r="E27" s="461"/>
      <c r="F27" s="461"/>
      <c r="G27" s="461"/>
      <c r="H27" s="461"/>
      <c r="I27" s="194"/>
      <c r="J27" s="466"/>
      <c r="K27" s="467"/>
    </row>
    <row r="28" spans="2:11">
      <c r="B28" s="369" t="str">
        <f>ET!B28</f>
        <v>Penalties and fines (Other Activities)</v>
      </c>
      <c r="C28" s="370" t="s">
        <v>163</v>
      </c>
      <c r="D28" s="460"/>
      <c r="E28" s="461"/>
      <c r="F28" s="461"/>
      <c r="G28" s="461"/>
      <c r="H28" s="461"/>
      <c r="I28" s="194"/>
      <c r="J28" s="466"/>
      <c r="K28" s="467"/>
    </row>
    <row r="29" spans="2:11">
      <c r="B29" s="372" t="str">
        <f>ET!B29</f>
        <v>RoRE - Operational performance</v>
      </c>
      <c r="C29" s="370" t="s">
        <v>163</v>
      </c>
      <c r="D29" s="324">
        <f>SUM(D11:D28)</f>
        <v>6.8715429760738911E-2</v>
      </c>
      <c r="E29" s="324">
        <f t="shared" ref="E29:H29" si="6">SUM(E11:E28)</f>
        <v>9.5176937990846297E-2</v>
      </c>
      <c r="F29" s="324">
        <f t="shared" si="6"/>
        <v>7.2250274347777046E-2</v>
      </c>
      <c r="G29" s="324">
        <f t="shared" si="6"/>
        <v>5.3478637954298101E-2</v>
      </c>
      <c r="H29" s="324">
        <f t="shared" si="6"/>
        <v>2.272452509245397E-2</v>
      </c>
      <c r="I29" s="287"/>
      <c r="J29" s="151">
        <f>SUM(J11:J28)</f>
        <v>7.917638930753941E-2</v>
      </c>
      <c r="K29" s="151">
        <f>SUM(K11:K28)</f>
        <v>5.7599386889119926E-2</v>
      </c>
    </row>
    <row r="30" spans="2:11">
      <c r="B30" s="369" t="str">
        <f>ET!B30</f>
        <v>Debt performance - at notional gearing</v>
      </c>
      <c r="C30" s="370" t="s">
        <v>163</v>
      </c>
      <c r="D30" s="282">
        <f>(D84)/D$90</f>
        <v>4.2373579995953356E-2</v>
      </c>
      <c r="E30" s="283">
        <f t="shared" ref="E30:H30" si="7">(E84)/E$90</f>
        <v>8.9639656433999626E-2</v>
      </c>
      <c r="F30" s="283">
        <f t="shared" si="7"/>
        <v>5.8629173489422974E-2</v>
      </c>
      <c r="G30" s="283">
        <f t="shared" si="7"/>
        <v>-2.5066382063239486E-3</v>
      </c>
      <c r="H30" s="283">
        <f t="shared" si="7"/>
        <v>-6.3301272343624171E-3</v>
      </c>
      <c r="I30" s="194"/>
      <c r="J30" s="284">
        <f>AVERAGE(D84:INDEX(D84:H84,0,MATCH(Data!$B$3,$D$7:$H$7,0)))/AVERAGE($D$90:INDEX($D$90:$H$90,0,MATCH(Data!$B$3,$D$7:$H$7,0)))</f>
        <v>6.4827210816088041E-2</v>
      </c>
      <c r="K30" s="285">
        <f>AVERAGE(D84:H84)/AVERAGE($D$90:$H$90)</f>
        <v>2.9853484689696973E-2</v>
      </c>
    </row>
    <row r="31" spans="2:11">
      <c r="B31" s="369" t="str">
        <f>ET!B31</f>
        <v>Tax performance - at notional gearing</v>
      </c>
      <c r="C31" s="370" t="s">
        <v>163</v>
      </c>
      <c r="D31" s="282">
        <f>(D86)/D$90</f>
        <v>-1.335265409565695E-2</v>
      </c>
      <c r="E31" s="283">
        <f t="shared" ref="E31:H31" si="8">(E86)/E$90</f>
        <v>-6.5433240142645658E-3</v>
      </c>
      <c r="F31" s="283">
        <f t="shared" si="8"/>
        <v>-3.0856478019780794E-4</v>
      </c>
      <c r="G31" s="283">
        <f t="shared" si="8"/>
        <v>5.7047697732782402E-4</v>
      </c>
      <c r="H31" s="283">
        <f t="shared" si="8"/>
        <v>4.2002973331546178E-4</v>
      </c>
      <c r="I31" s="194"/>
      <c r="J31" s="284">
        <f>AVERAGE(D86:INDEX(D86:H86,0,MATCH(Data!$B$3,$D$7:$H$7,0)))/AVERAGE($D$90:INDEX($D$90:$H$90,0,MATCH(Data!$B$3,$D$7:$H$7,0)))</f>
        <v>-6.0615373061840734E-3</v>
      </c>
      <c r="K31" s="285">
        <f>AVERAGE(D86:H86)/AVERAGE($D$90:$H$90)</f>
        <v>-2.764871086282354E-3</v>
      </c>
    </row>
    <row r="32" spans="2:11">
      <c r="B32" s="372" t="str">
        <f>ET!B32</f>
        <v>RoRE - including financing and tax</v>
      </c>
      <c r="C32" s="370" t="s">
        <v>163</v>
      </c>
      <c r="D32" s="151">
        <f>SUM(D29:D31)</f>
        <v>9.7736355661035321E-2</v>
      </c>
      <c r="E32" s="325">
        <f t="shared" ref="E32:H32" si="9">SUM(E29:E31)</f>
        <v>0.17827327041058136</v>
      </c>
      <c r="F32" s="325">
        <f t="shared" si="9"/>
        <v>0.13057088305700221</v>
      </c>
      <c r="G32" s="325">
        <f t="shared" si="9"/>
        <v>5.1542476725301975E-2</v>
      </c>
      <c r="H32" s="325">
        <f t="shared" si="9"/>
        <v>1.6814427591407017E-2</v>
      </c>
      <c r="I32" s="287"/>
      <c r="J32" s="151">
        <f>SUM(J29:J31)</f>
        <v>0.13794206281744337</v>
      </c>
      <c r="K32" s="323">
        <f>SUM(K29:K31)</f>
        <v>8.468800049253454E-2</v>
      </c>
    </row>
    <row r="33" spans="2:13">
      <c r="D33" s="194"/>
      <c r="E33" s="194"/>
      <c r="F33" s="194"/>
      <c r="G33" s="194"/>
      <c r="H33" s="194"/>
      <c r="I33" s="194"/>
      <c r="J33" s="194"/>
      <c r="K33" s="194"/>
    </row>
    <row r="34" spans="2:13">
      <c r="D34" s="194"/>
      <c r="E34" s="194"/>
      <c r="F34" s="194"/>
      <c r="G34" s="194"/>
      <c r="H34" s="194"/>
      <c r="I34" s="194"/>
      <c r="J34" s="194"/>
      <c r="K34" s="194"/>
    </row>
    <row r="35" spans="2:13">
      <c r="D35" s="194"/>
      <c r="E35" s="194"/>
      <c r="F35" s="194"/>
      <c r="G35" s="194"/>
      <c r="H35" s="194"/>
      <c r="I35" s="194"/>
      <c r="J35" s="194"/>
      <c r="K35" s="194"/>
    </row>
    <row r="36" spans="2:13">
      <c r="B36" s="366" t="s">
        <v>57</v>
      </c>
      <c r="C36" s="367"/>
      <c r="D36" s="471"/>
      <c r="E36" s="471"/>
      <c r="F36" s="471"/>
      <c r="G36" s="471"/>
      <c r="H36" s="471"/>
      <c r="I36" s="472"/>
      <c r="J36" s="471"/>
      <c r="K36" s="471"/>
      <c r="L36" s="367"/>
    </row>
    <row r="37" spans="2:13">
      <c r="B37" s="147"/>
      <c r="D37" s="194"/>
      <c r="E37" s="194"/>
      <c r="F37" s="194"/>
      <c r="G37" s="194"/>
      <c r="H37" s="194"/>
      <c r="I37" s="473"/>
      <c r="J37" s="194"/>
      <c r="K37" s="194"/>
    </row>
    <row r="38" spans="2:13">
      <c r="B38" s="369" t="str">
        <f>ET!B38</f>
        <v>Allowed Equity Return</v>
      </c>
      <c r="C38" s="370" t="s">
        <v>163</v>
      </c>
      <c r="D38" s="282">
        <f t="shared" ref="D38:H38" si="10">D65/D$91</f>
        <v>4.6082476062594656E-2</v>
      </c>
      <c r="E38" s="283">
        <f t="shared" si="10"/>
        <v>3.9817790167793417E-2</v>
      </c>
      <c r="F38" s="283">
        <f t="shared" si="10"/>
        <v>4.3362947587988081E-2</v>
      </c>
      <c r="G38" s="283">
        <f t="shared" si="10"/>
        <v>5.2044235342150559E-2</v>
      </c>
      <c r="H38" s="283">
        <f t="shared" si="10"/>
        <v>5.1642729215954794E-2</v>
      </c>
      <c r="I38" s="194"/>
      <c r="J38" s="284">
        <f>AVERAGE(D65:INDEX(D65:H65,0,MATCH(Data!$B$3,$D$7:$H$7,0)))/AVERAGE($D$91:INDEX($D$91:$H$91,0,MATCH(Data!$B$3,$D$7:$H$7,0)))</f>
        <v>4.2777752431228132E-2</v>
      </c>
      <c r="K38" s="285">
        <f t="shared" ref="K38:K49" si="11">AVERAGE(D65:H65)/AVERAGE($D$91:$H$91)</f>
        <v>4.7212654597580263E-2</v>
      </c>
      <c r="M38" s="374"/>
    </row>
    <row r="39" spans="2:13">
      <c r="B39" s="369" t="str">
        <f>ET!B39</f>
        <v>Totex outperformance</v>
      </c>
      <c r="C39" s="370" t="s">
        <v>163</v>
      </c>
      <c r="D39" s="282">
        <f t="shared" ref="D39:H39" si="12">D66/D$91</f>
        <v>2.3836591070255674E-2</v>
      </c>
      <c r="E39" s="283">
        <f t="shared" si="12"/>
        <v>4.4773501768950924E-2</v>
      </c>
      <c r="F39" s="283">
        <f t="shared" si="12"/>
        <v>1.5619118907402167E-2</v>
      </c>
      <c r="G39" s="283">
        <f t="shared" si="12"/>
        <v>-1.2587669633769612E-3</v>
      </c>
      <c r="H39" s="283">
        <f t="shared" si="12"/>
        <v>-3.1030559183533941E-2</v>
      </c>
      <c r="I39" s="194"/>
      <c r="J39" s="284">
        <f>AVERAGE(D66:INDEX(D66:H66,0,MATCH(Data!$B$3,$D$7:$H$7,0)))/AVERAGE($D$91:INDEX($D$91:$H$91,0,MATCH(Data!$B$3,$D$7:$H$7,0)))</f>
        <v>2.7824840703910322E-2</v>
      </c>
      <c r="K39" s="285">
        <f>AVERAGE(D66:H66)/AVERAGE($D$91:$H$91)</f>
        <v>5.4148928173921758E-3</v>
      </c>
    </row>
    <row r="40" spans="2:13">
      <c r="B40" s="369" t="str">
        <f>ET!B40</f>
        <v>Business Plan Incentive</v>
      </c>
      <c r="C40" s="370" t="s">
        <v>163</v>
      </c>
      <c r="D40" s="282">
        <f t="shared" ref="D40:H40" si="13">D67/D$91</f>
        <v>3.3963051956205654E-3</v>
      </c>
      <c r="E40" s="283">
        <f t="shared" si="13"/>
        <v>2.342412536288343E-3</v>
      </c>
      <c r="F40" s="283">
        <f t="shared" si="13"/>
        <v>2.0137244922300034E-3</v>
      </c>
      <c r="G40" s="283">
        <f t="shared" si="13"/>
        <v>1.9293791683236128E-3</v>
      </c>
      <c r="H40" s="283">
        <f t="shared" si="13"/>
        <v>1.5290723603802305E-3</v>
      </c>
      <c r="I40" s="194"/>
      <c r="J40" s="284">
        <f>AVERAGE(D67:INDEX(D67:H67,0,MATCH(Data!$B$3,$D$7:$H$7,0)))/AVERAGE($D$91:INDEX($D$91:$H$91,0,MATCH(Data!$B$3,$D$7:$H$7,0)))</f>
        <v>2.4631752028430646E-3</v>
      </c>
      <c r="K40" s="285">
        <f t="shared" si="11"/>
        <v>2.0918463762724399E-3</v>
      </c>
    </row>
    <row r="41" spans="2:13">
      <c r="B41" s="369" t="str">
        <f>ET!B41</f>
        <v xml:space="preserve">Energy not supplied ODI </v>
      </c>
      <c r="C41" s="370" t="s">
        <v>163</v>
      </c>
      <c r="D41" s="282">
        <f t="shared" ref="D41:H41" si="14">D68/D$91</f>
        <v>6.0063194889069141E-4</v>
      </c>
      <c r="E41" s="283">
        <f t="shared" si="14"/>
        <v>4.1425246723735145E-4</v>
      </c>
      <c r="F41" s="283">
        <f t="shared" si="14"/>
        <v>3.3758501516346592E-4</v>
      </c>
      <c r="G41" s="283">
        <f t="shared" si="14"/>
        <v>3.4120807856538078E-4</v>
      </c>
      <c r="H41" s="283">
        <f t="shared" si="14"/>
        <v>2.7041436470265671E-4</v>
      </c>
      <c r="I41" s="194"/>
      <c r="J41" s="284">
        <f>AVERAGE(D68:INDEX(D68:H68,0,MATCH(Data!$B$3,$D$7:$H$7,0)))/AVERAGE($D$91:INDEX($D$91:$H$91,0,MATCH(Data!$B$3,$D$7:$H$7,0)))</f>
        <v>4.2805007988485402E-4</v>
      </c>
      <c r="K41" s="285">
        <f t="shared" si="11"/>
        <v>3.6608845290851417E-4</v>
      </c>
    </row>
    <row r="42" spans="2:13">
      <c r="B42" s="369" t="str">
        <f>ET!B42</f>
        <v xml:space="preserve">Insulation And Interruption Gas emissions ODI </v>
      </c>
      <c r="C42" s="370" t="s">
        <v>163</v>
      </c>
      <c r="D42" s="282">
        <f t="shared" ref="D42:H42" si="15">D69/D$91</f>
        <v>2.1098037605323257E-4</v>
      </c>
      <c r="E42" s="283">
        <f t="shared" si="15"/>
        <v>5.2465651682732226E-5</v>
      </c>
      <c r="F42" s="283">
        <f t="shared" si="15"/>
        <v>1.3254191706267563E-4</v>
      </c>
      <c r="G42" s="283">
        <f t="shared" si="15"/>
        <v>0</v>
      </c>
      <c r="H42" s="283">
        <f t="shared" si="15"/>
        <v>0</v>
      </c>
      <c r="I42" s="194"/>
      <c r="J42" s="284">
        <f>AVERAGE(D69:INDEX(D69:H69,0,MATCH(Data!$B$3,$D$7:$H$7,0)))/AVERAGE($D$91:INDEX($D$91:$H$91,0,MATCH(Data!$B$3,$D$7:$H$7,0)))</f>
        <v>1.2343625754720791E-4</v>
      </c>
      <c r="K42" s="285">
        <f t="shared" si="11"/>
        <v>6.2896789741807827E-5</v>
      </c>
    </row>
    <row r="43" spans="2:13">
      <c r="B43" s="369" t="str">
        <f>ET!B43</f>
        <v xml:space="preserve">Timely Connections ODI </v>
      </c>
      <c r="C43" s="370" t="s">
        <v>163</v>
      </c>
      <c r="D43" s="282">
        <f t="shared" ref="D43:H43" si="16">D70/D$91</f>
        <v>0</v>
      </c>
      <c r="E43" s="283">
        <f t="shared" si="16"/>
        <v>0</v>
      </c>
      <c r="F43" s="283">
        <f t="shared" si="16"/>
        <v>0</v>
      </c>
      <c r="G43" s="283">
        <f t="shared" si="16"/>
        <v>0</v>
      </c>
      <c r="H43" s="283">
        <f t="shared" si="16"/>
        <v>0</v>
      </c>
      <c r="I43" s="194"/>
      <c r="J43" s="284">
        <f>AVERAGE(D70:INDEX(D70:H70,0,MATCH(Data!$B$3,$D$7:$H$7,0)))/AVERAGE($D$91:INDEX($D$91:$H$91,0,MATCH(Data!$B$3,$D$7:$H$7,0)))</f>
        <v>0</v>
      </c>
      <c r="K43" s="285">
        <f t="shared" si="11"/>
        <v>0</v>
      </c>
    </row>
    <row r="44" spans="2:13">
      <c r="B44" s="369" t="str">
        <f>ET!B44</f>
        <v xml:space="preserve">Quality of connections satisfaction survey ODI </v>
      </c>
      <c r="C44" s="370" t="s">
        <v>163</v>
      </c>
      <c r="D44" s="282">
        <f t="shared" ref="D44:H44" si="17">D71/D$91</f>
        <v>3.2907295657045351E-4</v>
      </c>
      <c r="E44" s="283">
        <f t="shared" si="17"/>
        <v>9.6738267902397651E-4</v>
      </c>
      <c r="F44" s="283">
        <f t="shared" si="17"/>
        <v>8.413427853076489E-4</v>
      </c>
      <c r="G44" s="283">
        <f t="shared" si="17"/>
        <v>7.7167000912742062E-4</v>
      </c>
      <c r="H44" s="283">
        <f t="shared" si="17"/>
        <v>6.795158092897009E-4</v>
      </c>
      <c r="I44" s="194"/>
      <c r="J44" s="284">
        <f>AVERAGE(D71:INDEX(D71:H71,0,MATCH(Data!$B$3,$D$7:$H$7,0)))/AVERAGE($D$91:INDEX($D$91:$H$91,0,MATCH(Data!$B$3,$D$7:$H$7,0)))</f>
        <v>7.6168059597128929E-4</v>
      </c>
      <c r="K44" s="285">
        <f t="shared" si="11"/>
        <v>7.4136561845680423E-4</v>
      </c>
    </row>
    <row r="45" spans="2:13">
      <c r="B45" s="369" t="str">
        <f>ET!B45</f>
        <v>SO-TO Optimisation ODI</v>
      </c>
      <c r="C45" s="370" t="s">
        <v>163</v>
      </c>
      <c r="D45" s="282">
        <f t="shared" ref="D45:H45" si="18">D72/D$91</f>
        <v>2.1645411379700072E-4</v>
      </c>
      <c r="E45" s="283">
        <f t="shared" si="18"/>
        <v>6.4440509939156618E-4</v>
      </c>
      <c r="F45" s="283">
        <f t="shared" si="18"/>
        <v>1.6747363242020877E-3</v>
      </c>
      <c r="G45" s="283">
        <f t="shared" si="18"/>
        <v>0</v>
      </c>
      <c r="H45" s="283">
        <f t="shared" si="18"/>
        <v>0</v>
      </c>
      <c r="I45" s="194"/>
      <c r="J45" s="284">
        <f>AVERAGE(D72:INDEX(D72:H72,0,MATCH(Data!$B$3,$D$7:$H$7,0)))/AVERAGE($D$91:INDEX($D$91:$H$91,0,MATCH(Data!$B$3,$D$7:$H$7,0)))</f>
        <v>9.6104598096166346E-4</v>
      </c>
      <c r="K45" s="285">
        <f t="shared" si="11"/>
        <v>4.8969977053652566E-4</v>
      </c>
    </row>
    <row r="46" spans="2:13">
      <c r="B46" s="369" t="str">
        <f>ET!B46</f>
        <v xml:space="preserve">Environmental scorecard ODI </v>
      </c>
      <c r="C46" s="370" t="s">
        <v>163</v>
      </c>
      <c r="D46" s="282">
        <f t="shared" ref="D46:H46" si="19">D73/D$91</f>
        <v>0</v>
      </c>
      <c r="E46" s="283">
        <f t="shared" si="19"/>
        <v>0</v>
      </c>
      <c r="F46" s="283">
        <f t="shared" si="19"/>
        <v>0</v>
      </c>
      <c r="G46" s="283">
        <f t="shared" si="19"/>
        <v>0</v>
      </c>
      <c r="H46" s="283">
        <f t="shared" si="19"/>
        <v>0</v>
      </c>
      <c r="I46" s="194"/>
      <c r="J46" s="284">
        <f>AVERAGE(D73:INDEX(D73:H73,0,MATCH(Data!$B$3,$D$7:$H$7,0)))/AVERAGE($D$91:INDEX($D$91:$H$91,0,MATCH(Data!$B$3,$D$7:$H$7,0)))</f>
        <v>0</v>
      </c>
      <c r="K46" s="285">
        <f t="shared" si="11"/>
        <v>0</v>
      </c>
    </row>
    <row r="47" spans="2:13">
      <c r="B47" s="369" t="str">
        <f>ET!B47</f>
        <v>Network innovation input for RORE</v>
      </c>
      <c r="C47" s="370" t="s">
        <v>163</v>
      </c>
      <c r="D47" s="282">
        <f t="shared" ref="D47:H47" si="20">D74/D$91</f>
        <v>-8.635024859044764E-6</v>
      </c>
      <c r="E47" s="283">
        <f t="shared" si="20"/>
        <v>-4.4189883846436157E-5</v>
      </c>
      <c r="F47" s="283">
        <f t="shared" si="20"/>
        <v>-7.1311592308543096E-5</v>
      </c>
      <c r="G47" s="283">
        <f t="shared" si="20"/>
        <v>-1.6639366105261795E-4</v>
      </c>
      <c r="H47" s="283">
        <f t="shared" si="20"/>
        <v>-6.2804343823100365E-5</v>
      </c>
      <c r="I47" s="194"/>
      <c r="J47" s="284">
        <f>AVERAGE(D74:INDEX(D74:H74,0,MATCH(Data!$B$3,$D$7:$H$7,0)))/AVERAGE($D$91:INDEX($D$91:$H$91,0,MATCH(Data!$B$3,$D$7:$H$7,0)))</f>
        <v>-4.6652847775202517E-5</v>
      </c>
      <c r="K47" s="285">
        <f t="shared" si="11"/>
        <v>-7.7036821650429998E-5</v>
      </c>
    </row>
    <row r="48" spans="2:13">
      <c r="B48" s="369" t="str">
        <f>ET!B48</f>
        <v>Carry-over Network innovation input for RORE</v>
      </c>
      <c r="C48" s="370" t="s">
        <v>163</v>
      </c>
      <c r="D48" s="282">
        <f t="shared" ref="D48:H48" si="21">D75/D$91</f>
        <v>-3.7816067862898696E-5</v>
      </c>
      <c r="E48" s="283">
        <f t="shared" si="21"/>
        <v>0</v>
      </c>
      <c r="F48" s="283">
        <f t="shared" si="21"/>
        <v>0</v>
      </c>
      <c r="G48" s="283">
        <f t="shared" si="21"/>
        <v>0</v>
      </c>
      <c r="H48" s="283">
        <f t="shared" si="21"/>
        <v>0</v>
      </c>
      <c r="I48" s="194"/>
      <c r="J48" s="284">
        <f>AVERAGE(D75:INDEX(D75:H75,0,MATCH(Data!$B$3,$D$7:$H$7,0)))/AVERAGE($D$91:INDEX($D$91:$H$91,0,MATCH(Data!$B$3,$D$7:$H$7,0)))</f>
        <v>-9.1420524426597101E-6</v>
      </c>
      <c r="K48" s="285">
        <f t="shared" si="11"/>
        <v>-4.6583213208213071E-6</v>
      </c>
    </row>
    <row r="49" spans="2:12">
      <c r="B49" s="369" t="str">
        <f>ET!B49</f>
        <v>Strategic innovation input for RORE</v>
      </c>
      <c r="C49" s="370" t="s">
        <v>163</v>
      </c>
      <c r="D49" s="282">
        <f t="shared" ref="D49:H49" si="22">D76/D$91</f>
        <v>-1.2059656470806562E-5</v>
      </c>
      <c r="E49" s="283">
        <f t="shared" si="22"/>
        <v>-4.0691646448242539E-5</v>
      </c>
      <c r="F49" s="283">
        <f t="shared" si="22"/>
        <v>-9.8331801202427947E-5</v>
      </c>
      <c r="G49" s="283">
        <f t="shared" si="22"/>
        <v>-1.490540283111909E-4</v>
      </c>
      <c r="H49" s="283">
        <f t="shared" si="22"/>
        <v>-2.8029422819074245E-4</v>
      </c>
      <c r="I49" s="194"/>
      <c r="J49" s="284">
        <f>AVERAGE(D76:INDEX(D76:H76,0,MATCH(Data!$B$3,$D$7:$H$7,0)))/AVERAGE($D$91:INDEX($D$91:$H$91,0,MATCH(Data!$B$3,$D$7:$H$7,0)))</f>
        <v>-5.7271541464929169E-5</v>
      </c>
      <c r="K49" s="285">
        <f t="shared" si="11"/>
        <v>-1.3819499039157605E-4</v>
      </c>
    </row>
    <row r="50" spans="2:12">
      <c r="B50" s="369" t="str">
        <f>ET!B50</f>
        <v/>
      </c>
      <c r="C50" s="370" t="s">
        <v>163</v>
      </c>
      <c r="D50" s="460"/>
      <c r="E50" s="461"/>
      <c r="F50" s="461"/>
      <c r="G50" s="461"/>
      <c r="H50" s="461"/>
      <c r="I50" s="194"/>
      <c r="J50" s="466"/>
      <c r="K50" s="467"/>
    </row>
    <row r="51" spans="2:12">
      <c r="B51" s="369" t="str">
        <f>ET!B51</f>
        <v/>
      </c>
      <c r="C51" s="370" t="s">
        <v>163</v>
      </c>
      <c r="D51" s="460"/>
      <c r="E51" s="461"/>
      <c r="F51" s="461"/>
      <c r="G51" s="461"/>
      <c r="H51" s="461"/>
      <c r="I51" s="194"/>
      <c r="J51" s="466"/>
      <c r="K51" s="467"/>
    </row>
    <row r="52" spans="2:12">
      <c r="B52" s="369" t="str">
        <f>ET!B52</f>
        <v/>
      </c>
      <c r="C52" s="370" t="s">
        <v>163</v>
      </c>
      <c r="D52" s="460"/>
      <c r="E52" s="461"/>
      <c r="F52" s="461"/>
      <c r="G52" s="461"/>
      <c r="H52" s="461"/>
      <c r="I52" s="194"/>
      <c r="J52" s="466"/>
      <c r="K52" s="467"/>
    </row>
    <row r="53" spans="2:12">
      <c r="B53" s="369" t="str">
        <f>ET!B53</f>
        <v/>
      </c>
      <c r="C53" s="370" t="s">
        <v>163</v>
      </c>
      <c r="D53" s="460"/>
      <c r="E53" s="461"/>
      <c r="F53" s="461"/>
      <c r="G53" s="461"/>
      <c r="H53" s="461"/>
      <c r="I53" s="194"/>
      <c r="J53" s="466"/>
      <c r="K53" s="467"/>
    </row>
    <row r="54" spans="2:12">
      <c r="B54" s="369" t="str">
        <f>ET!B54</f>
        <v/>
      </c>
      <c r="C54" s="370" t="s">
        <v>163</v>
      </c>
      <c r="D54" s="460"/>
      <c r="E54" s="461"/>
      <c r="F54" s="461"/>
      <c r="G54" s="461"/>
      <c r="H54" s="461"/>
      <c r="I54" s="194"/>
      <c r="J54" s="466"/>
      <c r="K54" s="467"/>
    </row>
    <row r="55" spans="2:12">
      <c r="B55" s="369" t="str">
        <f>ET!B55</f>
        <v>Penalties and fines (Other Activities)</v>
      </c>
      <c r="C55" s="370" t="s">
        <v>163</v>
      </c>
      <c r="D55" s="460"/>
      <c r="E55" s="461"/>
      <c r="F55" s="461"/>
      <c r="G55" s="461"/>
      <c r="H55" s="461"/>
      <c r="I55" s="194"/>
      <c r="J55" s="466"/>
      <c r="K55" s="467"/>
    </row>
    <row r="56" spans="2:12">
      <c r="B56" s="372" t="str">
        <f>ET!B56</f>
        <v>RoRE - Operational performance</v>
      </c>
      <c r="C56" s="370" t="s">
        <v>163</v>
      </c>
      <c r="D56" s="324">
        <f>SUM(D38:D55)</f>
        <v>7.4614000974589534E-2</v>
      </c>
      <c r="E56" s="324">
        <f t="shared" ref="E56:H56" si="23">SUM(E38:E55)</f>
        <v>8.8927328840073636E-2</v>
      </c>
      <c r="F56" s="324">
        <f t="shared" si="23"/>
        <v>6.3812353635845157E-2</v>
      </c>
      <c r="G56" s="324">
        <f t="shared" si="23"/>
        <v>5.3512277945426207E-2</v>
      </c>
      <c r="H56" s="324">
        <f t="shared" si="23"/>
        <v>2.27480739947796E-2</v>
      </c>
      <c r="I56" s="287"/>
      <c r="J56" s="151">
        <f>SUM(J38:J55)</f>
        <v>7.5226914810663723E-2</v>
      </c>
      <c r="K56" s="151">
        <f>SUM(K38:K55)</f>
        <v>5.6159554289525709E-2</v>
      </c>
    </row>
    <row r="57" spans="2:12">
      <c r="B57" s="369" t="str">
        <f>ET!B57</f>
        <v>Debt performance - at actual gearing</v>
      </c>
      <c r="C57" s="370" t="s">
        <v>163</v>
      </c>
      <c r="D57" s="282">
        <f>(D84+D85)/D$91</f>
        <v>4.7425998054595624E-2</v>
      </c>
      <c r="E57" s="283">
        <f t="shared" ref="E57:H57" si="24">(E84+E85)/E$91</f>
        <v>7.997591266836504E-2</v>
      </c>
      <c r="F57" s="283">
        <f t="shared" si="24"/>
        <v>4.8282052605805502E-2</v>
      </c>
      <c r="G57" s="283">
        <f t="shared" si="24"/>
        <v>-2.524146613601147E-3</v>
      </c>
      <c r="H57" s="283">
        <f t="shared" si="24"/>
        <v>-6.3704667857079171E-3</v>
      </c>
      <c r="I57" s="194"/>
      <c r="J57" s="284">
        <f>(AVERAGE(D84:INDEX(D84:H84,0,MATCH(Data!$B$3,$D$7:$H$7,0)))+AVERAGE(D85:INDEX(D85:H85,0,MATCH(Data!$B$3,$D$7:$H$7,0))))/AVERAGE($D$91:INDEX($D$91:$H$91,0,MATCH(Data!$B$3,$D$7:$H$7,0)))</f>
        <v>5.9184378158705295E-2</v>
      </c>
      <c r="K57" s="285">
        <f>(AVERAGE(D84:H84)+AVERAGE(D85:H85))/AVERAGE($D$91:$H$91)</f>
        <v>2.7866963424703965E-2</v>
      </c>
    </row>
    <row r="58" spans="2:12">
      <c r="B58" s="369" t="str">
        <f>ET!B58</f>
        <v>Tax performance - at actual gearing</v>
      </c>
      <c r="C58" s="370" t="s">
        <v>163</v>
      </c>
      <c r="D58" s="282">
        <f>(D86+D87)/D$91</f>
        <v>-1.4767712201719125E-2</v>
      </c>
      <c r="E58" s="283">
        <f t="shared" ref="E58:H58" si="25">(E86+E87)/E$91</f>
        <v>-5.3959007255455329E-3</v>
      </c>
      <c r="F58" s="283">
        <f t="shared" si="25"/>
        <v>6.0246492943692666E-4</v>
      </c>
      <c r="G58" s="283">
        <f t="shared" si="25"/>
        <v>5.7481873828258909E-4</v>
      </c>
      <c r="H58" s="283">
        <f t="shared" si="25"/>
        <v>4.2890994700737762E-4</v>
      </c>
      <c r="I58" s="194"/>
      <c r="J58" s="284">
        <f>(AVERAGE(D86:INDEX(D86:H86,0,MATCH(Data!$B$3,$D$7:$H$7,0)))+AVERAGE(D87:INDEX(D87:H87,0,MATCH(Data!$B$3,$D$7:$H$7,0))))/AVERAGE($D$91:INDEX($D$91:$H$91,0,MATCH(Data!$B$3,$D$7:$H$7,0)))</f>
        <v>-5.2158195036413699E-3</v>
      </c>
      <c r="K58" s="285">
        <f>(AVERAGE(D86:H86)+AVERAGE(D87:H87))/AVERAGE($D$91:$H$91)</f>
        <v>-2.415715776895303E-3</v>
      </c>
    </row>
    <row r="59" spans="2:12">
      <c r="B59" s="372" t="str">
        <f>ET!B59</f>
        <v>RoRE - including financing and tax</v>
      </c>
      <c r="C59" s="370" t="s">
        <v>163</v>
      </c>
      <c r="D59" s="151">
        <f>SUM(D56:D58)</f>
        <v>0.10727228682746603</v>
      </c>
      <c r="E59" s="325">
        <f t="shared" ref="E59:H59" si="26">SUM(E56:E58)</f>
        <v>0.16350734078289314</v>
      </c>
      <c r="F59" s="325">
        <f t="shared" si="26"/>
        <v>0.11269687117108758</v>
      </c>
      <c r="G59" s="325">
        <f t="shared" si="26"/>
        <v>5.1562950070107652E-2</v>
      </c>
      <c r="H59" s="325">
        <f t="shared" si="26"/>
        <v>1.6806517156079059E-2</v>
      </c>
      <c r="I59" s="287"/>
      <c r="J59" s="151">
        <f>SUM(J56:J58)</f>
        <v>0.12919547346572766</v>
      </c>
      <c r="K59" s="323">
        <f>SUM(K56:K58)</f>
        <v>8.1610801937334373E-2</v>
      </c>
    </row>
    <row r="60" spans="2:12">
      <c r="B60" s="375"/>
      <c r="C60" s="376"/>
      <c r="D60" s="377"/>
      <c r="E60" s="377"/>
      <c r="F60" s="377"/>
      <c r="G60" s="377"/>
      <c r="H60" s="377"/>
      <c r="I60" s="287"/>
      <c r="J60" s="377"/>
      <c r="K60" s="377"/>
    </row>
    <row r="61" spans="2:12">
      <c r="B61" s="375"/>
      <c r="C61" s="376"/>
      <c r="D61" s="377"/>
      <c r="E61" s="377"/>
      <c r="F61" s="377"/>
      <c r="G61" s="377"/>
      <c r="H61" s="377"/>
      <c r="I61" s="287"/>
      <c r="J61" s="377"/>
      <c r="K61" s="377"/>
    </row>
    <row r="62" spans="2:12">
      <c r="B62" s="378" t="str">
        <f>ET!B62</f>
        <v>RoRE input values</v>
      </c>
      <c r="C62" s="379"/>
      <c r="D62" s="380"/>
      <c r="E62" s="380"/>
      <c r="F62" s="380"/>
      <c r="G62" s="380"/>
      <c r="H62" s="380"/>
      <c r="I62" s="381"/>
      <c r="J62" s="380"/>
      <c r="K62" s="380"/>
      <c r="L62" s="367"/>
    </row>
    <row r="63" spans="2:12">
      <c r="B63" s="382" t="str">
        <f>ET!B63</f>
        <v>Input values provided in £m 18/19 prices</v>
      </c>
      <c r="C63" s="383"/>
      <c r="D63" s="383"/>
      <c r="E63" s="383"/>
      <c r="F63" s="383"/>
      <c r="G63" s="383"/>
      <c r="H63" s="383"/>
      <c r="I63" s="383"/>
      <c r="J63" s="383"/>
      <c r="K63" s="383"/>
      <c r="L63" s="383"/>
    </row>
    <row r="65" spans="2:11">
      <c r="B65" s="308" t="str">
        <f>ET!B65</f>
        <v>Equity Return on the RAV</v>
      </c>
      <c r="C65" s="384" t="str">
        <f>ET!C65</f>
        <v>£m 18/19</v>
      </c>
      <c r="D65" s="326">
        <v>59.185423278283871</v>
      </c>
      <c r="E65" s="326">
        <v>74.147998280066759</v>
      </c>
      <c r="F65" s="326">
        <v>93.930017789742308</v>
      </c>
      <c r="G65" s="326">
        <v>117.66321430727888</v>
      </c>
      <c r="H65" s="326">
        <v>147.32172961649678</v>
      </c>
      <c r="J65" s="326">
        <v>227.26343934809296</v>
      </c>
      <c r="K65" s="326">
        <v>492.24838327186865</v>
      </c>
    </row>
    <row r="66" spans="2:11">
      <c r="B66" s="308" t="str">
        <f>ET!B66</f>
        <v>Totex outperformance</v>
      </c>
      <c r="C66" s="384" t="str">
        <f>ET!C66</f>
        <v>£m 18/19</v>
      </c>
      <c r="D66" s="326">
        <v>30.614212875370619</v>
      </c>
      <c r="E66" s="326">
        <v>83.376438475533718</v>
      </c>
      <c r="F66" s="326">
        <v>33.833127092098017</v>
      </c>
      <c r="G66" s="326">
        <v>-2.8458592195856802</v>
      </c>
      <c r="H66" s="326">
        <v>-88.521186220982116</v>
      </c>
      <c r="J66" s="326">
        <v>147.82377844300234</v>
      </c>
      <c r="K66" s="326">
        <v>56.456733002434532</v>
      </c>
    </row>
    <row r="67" spans="2:11">
      <c r="B67" s="308" t="str">
        <f>ET!B67</f>
        <v>Business Plan Incentive</v>
      </c>
      <c r="C67" s="384" t="str">
        <f>ET!C67</f>
        <v>£m 18/19</v>
      </c>
      <c r="D67" s="326">
        <v>4.3620000000000001</v>
      </c>
      <c r="E67" s="326">
        <v>4.3620000000000001</v>
      </c>
      <c r="F67" s="326">
        <v>4.3620000000000001</v>
      </c>
      <c r="G67" s="326">
        <v>4.3620000000000001</v>
      </c>
      <c r="H67" s="326">
        <v>4.3620000000000001</v>
      </c>
      <c r="J67" s="326">
        <v>13.086</v>
      </c>
      <c r="K67" s="326">
        <v>21.810000000000002</v>
      </c>
    </row>
    <row r="68" spans="2:11">
      <c r="B68" s="386" t="str">
        <f>ET!B68</f>
        <v xml:space="preserve">Energy not supplied ODI </v>
      </c>
      <c r="C68" s="384" t="str">
        <f>ET!C68</f>
        <v>£m 18/19</v>
      </c>
      <c r="D68" s="326">
        <v>0.77141375999999995</v>
      </c>
      <c r="E68" s="326">
        <v>0.77141375999999995</v>
      </c>
      <c r="F68" s="326">
        <v>0.73125486719999988</v>
      </c>
      <c r="G68" s="326">
        <v>0.77141375999999995</v>
      </c>
      <c r="H68" s="326">
        <v>0.77141375999999995</v>
      </c>
      <c r="J68" s="326">
        <v>2.2740823872</v>
      </c>
      <c r="K68" s="326">
        <v>3.8169099071999995</v>
      </c>
    </row>
    <row r="69" spans="2:11">
      <c r="B69" s="386" t="str">
        <f>ET!B69</f>
        <v xml:space="preserve">Insulation And Interruption Gas emissions ODI </v>
      </c>
      <c r="C69" s="384" t="str">
        <f>ET!C69</f>
        <v>£m 18/19</v>
      </c>
      <c r="D69" s="326">
        <v>0.27096987677399997</v>
      </c>
      <c r="E69" s="326">
        <v>9.7700626637999971E-2</v>
      </c>
      <c r="F69" s="326">
        <v>0.28710374455799997</v>
      </c>
      <c r="G69" s="326">
        <v>0</v>
      </c>
      <c r="H69" s="326">
        <v>0</v>
      </c>
      <c r="J69" s="326">
        <v>0.65577424796999995</v>
      </c>
      <c r="K69" s="326">
        <v>0.65577424796999995</v>
      </c>
    </row>
    <row r="70" spans="2:11">
      <c r="B70" s="386" t="str">
        <f>ET!B70</f>
        <v xml:space="preserve">Timely Connections ODI </v>
      </c>
      <c r="C70" s="384" t="str">
        <f>ET!C70</f>
        <v>£m 18/19</v>
      </c>
      <c r="D70" s="326">
        <v>0</v>
      </c>
      <c r="E70" s="326">
        <v>0</v>
      </c>
      <c r="F70" s="326">
        <v>0</v>
      </c>
      <c r="G70" s="326">
        <v>0</v>
      </c>
      <c r="H70" s="326">
        <v>0</v>
      </c>
      <c r="J70" s="326">
        <v>0</v>
      </c>
      <c r="K70" s="326">
        <v>0</v>
      </c>
    </row>
    <row r="71" spans="2:11">
      <c r="B71" s="386" t="str">
        <f>ET!B71</f>
        <v xml:space="preserve">Quality of connections satisfaction survey ODI </v>
      </c>
      <c r="C71" s="384" t="str">
        <f>ET!C71</f>
        <v>£m 18/19</v>
      </c>
      <c r="D71" s="326">
        <v>0.42264053254437933</v>
      </c>
      <c r="E71" s="326">
        <v>1.8014432473064395</v>
      </c>
      <c r="F71" s="326">
        <v>1.8224624290326168</v>
      </c>
      <c r="G71" s="326">
        <v>1.7446153846153838</v>
      </c>
      <c r="H71" s="326">
        <v>1.9384615384615371</v>
      </c>
      <c r="J71" s="326">
        <v>4.0465462088834361</v>
      </c>
      <c r="K71" s="326">
        <v>7.7296231319603566</v>
      </c>
    </row>
    <row r="72" spans="2:11">
      <c r="B72" s="386" t="str">
        <f>ET!B72</f>
        <v>SO-TO Optimisation ODI</v>
      </c>
      <c r="C72" s="384" t="str">
        <f>ET!C72</f>
        <v>£m 18/19</v>
      </c>
      <c r="D72" s="326">
        <v>0.27799999999999997</v>
      </c>
      <c r="E72" s="326">
        <v>1.2</v>
      </c>
      <c r="F72" s="326">
        <v>3.6277057136449242</v>
      </c>
      <c r="G72" s="326">
        <v>0</v>
      </c>
      <c r="H72" s="326">
        <v>0</v>
      </c>
      <c r="J72" s="326">
        <v>5.105705713644924</v>
      </c>
      <c r="K72" s="326">
        <v>5.105705713644924</v>
      </c>
    </row>
    <row r="73" spans="2:11">
      <c r="B73" s="308" t="str">
        <f>ET!B73</f>
        <v xml:space="preserve">Environmental scorecard ODI </v>
      </c>
      <c r="C73" s="384" t="str">
        <f>ET!C73</f>
        <v>£m 18/19</v>
      </c>
      <c r="D73" s="326">
        <v>0</v>
      </c>
      <c r="E73" s="326">
        <v>0</v>
      </c>
      <c r="F73" s="326">
        <v>0</v>
      </c>
      <c r="G73" s="326">
        <v>0</v>
      </c>
      <c r="H73" s="326">
        <v>0</v>
      </c>
      <c r="J73" s="326">
        <v>0</v>
      </c>
      <c r="K73" s="326">
        <v>0</v>
      </c>
    </row>
    <row r="74" spans="2:11">
      <c r="B74" s="308" t="str">
        <f>ET!B74</f>
        <v>Network innovation input for RORE</v>
      </c>
      <c r="C74" s="384" t="str">
        <f>ET!C74</f>
        <v>£m 18/19</v>
      </c>
      <c r="D74" s="326">
        <v>-1.1090280839225643E-2</v>
      </c>
      <c r="E74" s="326">
        <v>-8.228963530206572E-2</v>
      </c>
      <c r="F74" s="326">
        <v>-0.15447056777136137</v>
      </c>
      <c r="G74" s="326">
        <v>-0.37618792688746411</v>
      </c>
      <c r="H74" s="326">
        <v>-0.1791625791262362</v>
      </c>
      <c r="J74" s="326">
        <v>-0.24785048391265274</v>
      </c>
      <c r="K74" s="326">
        <v>-0.80320098992635314</v>
      </c>
    </row>
    <row r="75" spans="2:11">
      <c r="B75" s="308" t="str">
        <f>ET!B75</f>
        <v>Carry-over Network innovation input for RORE</v>
      </c>
      <c r="C75" s="384" t="str">
        <f>ET!C75</f>
        <v>£m 18/19</v>
      </c>
      <c r="D75" s="326">
        <v>-4.8568570407237541E-2</v>
      </c>
      <c r="E75" s="326">
        <v>0</v>
      </c>
      <c r="F75" s="326">
        <v>0</v>
      </c>
      <c r="G75" s="326">
        <v>0</v>
      </c>
      <c r="H75" s="326">
        <v>0</v>
      </c>
      <c r="J75" s="326">
        <v>-4.8568570407237541E-2</v>
      </c>
      <c r="K75" s="326">
        <v>-4.8568570407237541E-2</v>
      </c>
    </row>
    <row r="76" spans="2:11">
      <c r="B76" s="308" t="str">
        <f>ET!B76</f>
        <v>Strategic innovation input for RORE</v>
      </c>
      <c r="C76" s="384" t="str">
        <f>ET!C76</f>
        <v>£m 18/19</v>
      </c>
      <c r="D76" s="326">
        <v>-1.5488661500000001E-2</v>
      </c>
      <c r="E76" s="326">
        <v>-7.5775278290000012E-2</v>
      </c>
      <c r="F76" s="326">
        <v>-0.21299999999999999</v>
      </c>
      <c r="G76" s="326">
        <v>-0.33698594976452123</v>
      </c>
      <c r="H76" s="326">
        <v>-0.79959814528593476</v>
      </c>
      <c r="J76" s="326">
        <v>-0.30426393978999999</v>
      </c>
      <c r="K76" s="326">
        <v>-1.440848034840456</v>
      </c>
    </row>
    <row r="77" spans="2:11">
      <c r="B77" s="308" t="str">
        <f>ET!B77</f>
        <v/>
      </c>
      <c r="C77" s="384" t="str">
        <f>ET!C77</f>
        <v>£m 18/19</v>
      </c>
      <c r="D77" s="326">
        <v>0</v>
      </c>
      <c r="E77" s="326">
        <v>0</v>
      </c>
      <c r="F77" s="326">
        <v>0</v>
      </c>
      <c r="G77" s="326">
        <v>0</v>
      </c>
      <c r="H77" s="326">
        <v>0</v>
      </c>
      <c r="J77" s="326">
        <v>0</v>
      </c>
      <c r="K77" s="326">
        <v>0</v>
      </c>
    </row>
    <row r="78" spans="2:11">
      <c r="B78" s="308" t="str">
        <f>ET!B78</f>
        <v/>
      </c>
      <c r="C78" s="384" t="str">
        <f>ET!C78</f>
        <v>£m 18/19</v>
      </c>
      <c r="D78" s="326">
        <v>0</v>
      </c>
      <c r="E78" s="326">
        <v>0</v>
      </c>
      <c r="F78" s="326">
        <v>0</v>
      </c>
      <c r="G78" s="326">
        <v>0</v>
      </c>
      <c r="H78" s="326">
        <v>0</v>
      </c>
      <c r="J78" s="326">
        <v>0</v>
      </c>
      <c r="K78" s="326">
        <v>0</v>
      </c>
    </row>
    <row r="79" spans="2:11">
      <c r="B79" s="308" t="str">
        <f>ET!B79</f>
        <v/>
      </c>
      <c r="C79" s="384" t="str">
        <f>ET!C79</f>
        <v>£m 18/19</v>
      </c>
      <c r="D79" s="326">
        <v>0</v>
      </c>
      <c r="E79" s="326">
        <v>0</v>
      </c>
      <c r="F79" s="326">
        <v>0</v>
      </c>
      <c r="G79" s="326">
        <v>0</v>
      </c>
      <c r="H79" s="326">
        <v>0</v>
      </c>
      <c r="J79" s="326">
        <v>0</v>
      </c>
      <c r="K79" s="326">
        <v>0</v>
      </c>
    </row>
    <row r="80" spans="2:11">
      <c r="B80" s="308" t="str">
        <f>ET!B80</f>
        <v/>
      </c>
      <c r="C80" s="384" t="str">
        <f>ET!C80</f>
        <v>£m 18/19</v>
      </c>
      <c r="D80" s="326">
        <v>0</v>
      </c>
      <c r="E80" s="326">
        <v>0</v>
      </c>
      <c r="F80" s="326">
        <v>0</v>
      </c>
      <c r="G80" s="326">
        <v>0</v>
      </c>
      <c r="H80" s="326">
        <v>0</v>
      </c>
      <c r="J80" s="326">
        <v>0</v>
      </c>
      <c r="K80" s="326">
        <v>0</v>
      </c>
    </row>
    <row r="81" spans="2:12">
      <c r="B81" s="308" t="str">
        <f>ET!B81</f>
        <v/>
      </c>
      <c r="C81" s="384" t="str">
        <f>ET!C81</f>
        <v>£m 18/19</v>
      </c>
      <c r="D81" s="326">
        <v>0</v>
      </c>
      <c r="E81" s="326">
        <v>0</v>
      </c>
      <c r="F81" s="326">
        <v>0</v>
      </c>
      <c r="G81" s="326">
        <v>0</v>
      </c>
      <c r="H81" s="326">
        <v>0</v>
      </c>
      <c r="J81" s="326">
        <v>0</v>
      </c>
      <c r="K81" s="326">
        <v>0</v>
      </c>
    </row>
    <row r="82" spans="2:12">
      <c r="B82" s="308" t="str">
        <f>ET!B82</f>
        <v>Penalties and fines (Other Activities)</v>
      </c>
      <c r="C82" s="384" t="str">
        <f>ET!C82</f>
        <v>£m 18/19</v>
      </c>
      <c r="D82" s="326">
        <v>0</v>
      </c>
      <c r="E82" s="326">
        <v>0</v>
      </c>
      <c r="F82" s="326">
        <v>0</v>
      </c>
      <c r="G82" s="326">
        <v>0</v>
      </c>
      <c r="H82" s="326">
        <v>0</v>
      </c>
      <c r="J82" s="326">
        <v>0</v>
      </c>
      <c r="K82" s="326">
        <v>0</v>
      </c>
    </row>
    <row r="83" spans="2:12">
      <c r="B83" s="306" t="str">
        <f>ET!B83</f>
        <v>RoRE - Operational performance</v>
      </c>
      <c r="C83" s="384" t="str">
        <f>ET!C83</f>
        <v>£m 18/19</v>
      </c>
      <c r="D83" s="328">
        <v>95.829512810226404</v>
      </c>
      <c r="E83" s="328">
        <v>165.59892947595284</v>
      </c>
      <c r="F83" s="328">
        <v>138.22620106850451</v>
      </c>
      <c r="G83" s="328">
        <v>120.98221035565659</v>
      </c>
      <c r="H83" s="328">
        <v>64.893657969564018</v>
      </c>
      <c r="I83" s="177"/>
      <c r="J83" s="328">
        <v>399.6546433546838</v>
      </c>
      <c r="K83" s="328">
        <v>585.53051167990441</v>
      </c>
    </row>
    <row r="84" spans="2:12">
      <c r="B84" s="308" t="str">
        <f>ET!B84</f>
        <v>Debt performance - at notional gearing</v>
      </c>
      <c r="C84" s="384" t="str">
        <f>ET!C84</f>
        <v>£m 18/19</v>
      </c>
      <c r="D84" s="326">
        <v>59.093562263616136</v>
      </c>
      <c r="E84" s="326">
        <v>155.96457983855501</v>
      </c>
      <c r="F84" s="326">
        <v>112.16688097570602</v>
      </c>
      <c r="G84" s="326">
        <v>-5.6706498587748086</v>
      </c>
      <c r="H84" s="326">
        <v>-18.076730315783124</v>
      </c>
      <c r="J84" s="326">
        <v>327.22502307787715</v>
      </c>
      <c r="K84" s="326">
        <v>303.47764290331918</v>
      </c>
    </row>
    <row r="85" spans="2:12">
      <c r="B85" s="308" t="str">
        <f>ET!B85</f>
        <v>Debt performance - impact of actual gearing</v>
      </c>
      <c r="C85" s="384" t="str">
        <f>ET!C85</f>
        <v>£m 18/19</v>
      </c>
      <c r="D85" s="326">
        <v>1.8173958507787873</v>
      </c>
      <c r="E85" s="326">
        <v>-7.0348223107949934</v>
      </c>
      <c r="F85" s="326">
        <v>-7.5814154469545372</v>
      </c>
      <c r="G85" s="326">
        <v>-3.6018747010331253E-2</v>
      </c>
      <c r="H85" s="326">
        <v>-9.6363933561605108E-2</v>
      </c>
      <c r="J85" s="326">
        <v>-12.798841906970743</v>
      </c>
      <c r="K85" s="326">
        <v>-12.93122458754268</v>
      </c>
    </row>
    <row r="86" spans="2:12">
      <c r="B86" s="308" t="str">
        <f>ET!B86</f>
        <v>Tax performance - at notional gearing</v>
      </c>
      <c r="C86" s="384" t="str">
        <f>ET!C86</f>
        <v>£m 18/19</v>
      </c>
      <c r="D86" s="326">
        <v>-18.621412121930391</v>
      </c>
      <c r="E86" s="326">
        <v>-11.384768987637733</v>
      </c>
      <c r="F86" s="326">
        <v>-0.59033322344184813</v>
      </c>
      <c r="G86" s="326">
        <v>1.2905632662730702</v>
      </c>
      <c r="H86" s="326">
        <v>1.1994647078398997</v>
      </c>
      <c r="J86" s="326">
        <v>-30.596514333009974</v>
      </c>
      <c r="K86" s="326">
        <v>-28.106486358897001</v>
      </c>
    </row>
    <row r="87" spans="2:12">
      <c r="B87" s="308" t="str">
        <f>ET!B87</f>
        <v>Tax performance - impact of actual gearing</v>
      </c>
      <c r="C87" s="384" t="str">
        <f>ET!C87</f>
        <v>£m 18/19</v>
      </c>
      <c r="D87" s="326">
        <v>-0.34530521164796824</v>
      </c>
      <c r="E87" s="326">
        <v>1.3366162390510503</v>
      </c>
      <c r="F87" s="326">
        <v>1.8953538617386361</v>
      </c>
      <c r="G87" s="326">
        <v>9.0046867525825913E-3</v>
      </c>
      <c r="H87" s="326">
        <v>2.4090983390401721E-2</v>
      </c>
      <c r="J87" s="326">
        <v>2.8866648891417181</v>
      </c>
      <c r="K87" s="326">
        <v>2.9197605592847027</v>
      </c>
    </row>
    <row r="88" spans="2:12">
      <c r="B88" s="306" t="str">
        <f>ET!B88</f>
        <v>RoRE - including financing and tax</v>
      </c>
      <c r="C88" s="384" t="str">
        <f>ET!C88</f>
        <v>£m 18/19</v>
      </c>
      <c r="D88" s="328">
        <v>137.77375359104295</v>
      </c>
      <c r="E88" s="328">
        <v>304.4805342551262</v>
      </c>
      <c r="F88" s="328">
        <v>244.11668723555277</v>
      </c>
      <c r="G88" s="328">
        <v>116.57510970289709</v>
      </c>
      <c r="H88" s="328">
        <v>47.944119411449591</v>
      </c>
      <c r="I88" s="177"/>
      <c r="J88" s="328">
        <v>686.37097508172189</v>
      </c>
      <c r="K88" s="328">
        <v>850.89020419606857</v>
      </c>
    </row>
    <row r="89" spans="2:12">
      <c r="C89" s="384"/>
      <c r="D89" s="390"/>
    </row>
    <row r="90" spans="2:12">
      <c r="B90" s="308" t="str">
        <f>ET!B90</f>
        <v>NPV-neutral equity element of RAV</v>
      </c>
      <c r="C90" s="384" t="str">
        <f>ET!C90</f>
        <v>£m 18/19</v>
      </c>
      <c r="D90" s="326">
        <v>1394.5850756357977</v>
      </c>
      <c r="E90" s="326">
        <v>1739.906042069555</v>
      </c>
      <c r="F90" s="326">
        <v>1913.1581480667051</v>
      </c>
      <c r="G90" s="326">
        <v>2262.2530225815744</v>
      </c>
      <c r="H90" s="326">
        <v>2855.6661890863002</v>
      </c>
    </row>
    <row r="91" spans="2:12">
      <c r="B91" s="308" t="str">
        <f>ET!B91</f>
        <v>Equity RAV based on actual gearing</v>
      </c>
      <c r="C91" s="384" t="str">
        <f>ET!C91</f>
        <v>£m 18/19</v>
      </c>
      <c r="D91" s="326">
        <v>1284.3368745614114</v>
      </c>
      <c r="E91" s="326">
        <v>1862.1826567372216</v>
      </c>
      <c r="F91" s="326">
        <v>2166.13544545486</v>
      </c>
      <c r="G91" s="326">
        <v>2260.8308784581873</v>
      </c>
      <c r="H91" s="326">
        <v>2852.7099913802072</v>
      </c>
    </row>
    <row r="94" spans="2:12">
      <c r="B94" s="306" t="s">
        <v>209</v>
      </c>
      <c r="D94" s="307" t="str">
        <f>ET!D94</f>
        <v>Actuals</v>
      </c>
      <c r="E94" s="307" t="str">
        <f>ET!E94</f>
        <v>Actuals</v>
      </c>
      <c r="F94" s="307" t="str">
        <f>ET!F94</f>
        <v>Actuals</v>
      </c>
      <c r="G94" s="307" t="str">
        <f>ET!G94</f>
        <v>Actuals</v>
      </c>
      <c r="H94" s="307" t="str">
        <f>ET!H94</f>
        <v>Actuals</v>
      </c>
    </row>
    <row r="95" spans="2:12" ht="22.8">
      <c r="D95" s="309">
        <f>ET!D95</f>
        <v>2022</v>
      </c>
      <c r="E95" s="309">
        <f>ET!E95</f>
        <v>2023</v>
      </c>
      <c r="F95" s="309">
        <f>ET!F95</f>
        <v>2024</v>
      </c>
      <c r="G95" s="309">
        <f>ET!G95</f>
        <v>2025</v>
      </c>
      <c r="H95" s="309">
        <f>ET!H95</f>
        <v>2026</v>
      </c>
      <c r="J95" s="310" t="str">
        <f>ET!J95</f>
        <v>Cumulative to 2024</v>
      </c>
      <c r="K95" s="311" t="str">
        <f>ET!K95</f>
        <v>RIIO-2 period</v>
      </c>
    </row>
    <row r="96" spans="2:12">
      <c r="B96" s="308" t="s">
        <v>154</v>
      </c>
      <c r="C96" s="178" t="s">
        <v>210</v>
      </c>
      <c r="D96" s="326">
        <v>602.42186398998342</v>
      </c>
      <c r="E96" s="326">
        <v>531.60338079686198</v>
      </c>
      <c r="F96" s="326">
        <v>867.1504235532916</v>
      </c>
      <c r="G96" s="326">
        <v>1605.3770436080927</v>
      </c>
      <c r="H96" s="326">
        <v>2896.0246633048428</v>
      </c>
      <c r="I96" s="308"/>
      <c r="J96" s="326">
        <v>2001.175668340137</v>
      </c>
      <c r="K96" s="326">
        <v>6502.5773752530731</v>
      </c>
      <c r="L96" s="308"/>
    </row>
    <row r="97" spans="2:12" ht="22.8">
      <c r="B97" s="312" t="s">
        <v>155</v>
      </c>
      <c r="C97" s="178" t="s">
        <v>210</v>
      </c>
      <c r="D97" s="326">
        <v>714.78324749381807</v>
      </c>
      <c r="E97" s="326">
        <v>783.95220252912065</v>
      </c>
      <c r="F97" s="326">
        <v>942.76028635015223</v>
      </c>
      <c r="G97" s="326">
        <v>1575.8485354345062</v>
      </c>
      <c r="H97" s="326">
        <v>2632.5564566842895</v>
      </c>
      <c r="I97" s="308"/>
      <c r="J97" s="326">
        <v>2441.4957363730909</v>
      </c>
      <c r="K97" s="326">
        <v>6649.9007284918862</v>
      </c>
      <c r="L97" s="308"/>
    </row>
    <row r="98" spans="2:12">
      <c r="B98" s="306" t="s">
        <v>156</v>
      </c>
      <c r="C98" s="178" t="s">
        <v>210</v>
      </c>
      <c r="D98" s="326">
        <v>112.36138350383459</v>
      </c>
      <c r="E98" s="326">
        <v>252.34882173225867</v>
      </c>
      <c r="F98" s="326">
        <v>75.609862796860625</v>
      </c>
      <c r="G98" s="326">
        <v>-29.528508173586545</v>
      </c>
      <c r="H98" s="326">
        <v>-263.46820662055342</v>
      </c>
      <c r="I98" s="308"/>
      <c r="J98" s="326">
        <v>440.32006803295394</v>
      </c>
      <c r="K98" s="326">
        <v>147.32335323881375</v>
      </c>
      <c r="L98" s="308"/>
    </row>
    <row r="99" spans="2:12">
      <c r="B99" s="308" t="s">
        <v>157</v>
      </c>
      <c r="C99" s="178" t="s">
        <v>210</v>
      </c>
      <c r="D99" s="326">
        <v>-27.321903294471753</v>
      </c>
      <c r="E99" s="326">
        <v>0</v>
      </c>
      <c r="F99" s="326">
        <v>0</v>
      </c>
      <c r="G99" s="326">
        <v>0</v>
      </c>
      <c r="H99" s="326">
        <v>0</v>
      </c>
      <c r="I99" s="308"/>
      <c r="J99" s="326">
        <v>0</v>
      </c>
      <c r="K99" s="326">
        <v>0</v>
      </c>
      <c r="L99" s="308"/>
    </row>
    <row r="100" spans="2:12">
      <c r="B100" s="306" t="s">
        <v>158</v>
      </c>
      <c r="C100" s="178" t="s">
        <v>210</v>
      </c>
      <c r="D100" s="303">
        <f>D98+D99</f>
        <v>85.039480209362836</v>
      </c>
      <c r="E100" s="303">
        <f>E98+E99</f>
        <v>252.34882173225867</v>
      </c>
      <c r="F100" s="303">
        <f t="shared" ref="F100:H100" si="27">F98+F99</f>
        <v>75.609862796860625</v>
      </c>
      <c r="G100" s="303">
        <f>G98+G99</f>
        <v>-29.528508173586545</v>
      </c>
      <c r="H100" s="303">
        <f t="shared" si="27"/>
        <v>-263.46820662055342</v>
      </c>
      <c r="I100" s="308"/>
      <c r="J100" s="303">
        <f>J98+J99</f>
        <v>440.32006803295394</v>
      </c>
      <c r="K100" s="303">
        <f>K98+K99</f>
        <v>147.32335323881375</v>
      </c>
      <c r="L100" s="308"/>
    </row>
    <row r="101" spans="2:12">
      <c r="B101" s="306" t="s">
        <v>159</v>
      </c>
      <c r="C101" s="314" t="s">
        <v>163</v>
      </c>
      <c r="D101" s="151">
        <f>D100/D97</f>
        <v>0.1189724024835911</v>
      </c>
      <c r="E101" s="151">
        <f>E100/E97</f>
        <v>0.32189312169562395</v>
      </c>
      <c r="F101" s="151">
        <f t="shared" ref="F101:H101" si="28">F100/F97</f>
        <v>8.0200517450284531E-2</v>
      </c>
      <c r="G101" s="151">
        <f t="shared" si="28"/>
        <v>-1.8738163922235519E-2</v>
      </c>
      <c r="H101" s="151">
        <f t="shared" si="28"/>
        <v>-0.10008074316947116</v>
      </c>
      <c r="J101" s="151">
        <f>J100/J97</f>
        <v>0.18034848944158366</v>
      </c>
      <c r="K101" s="151">
        <f>K100/K97</f>
        <v>2.2154218424283882E-2</v>
      </c>
    </row>
  </sheetData>
  <conditionalFormatting sqref="D6:G7 D94:G95">
    <cfRule type="expression" dxfId="26" priority="3">
      <formula>AND(D$6="Actuals",E$6="Forecast")</formula>
    </cfRule>
  </conditionalFormatting>
  <conditionalFormatting sqref="H6:H7 H94:H95">
    <cfRule type="expression" dxfId="25" priority="50">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FB2E9-0921-41A9-B029-613F5ED83DA6}">
  <sheetPr>
    <tabColor theme="8" tint="-0.249977111117893"/>
  </sheetPr>
  <dimension ref="A1:M107"/>
  <sheetViews>
    <sheetView zoomScale="80" zoomScaleNormal="80" workbookViewId="0"/>
  </sheetViews>
  <sheetFormatPr defaultColWidth="9.26953125" defaultRowHeight="11.4"/>
  <cols>
    <col min="1" max="1" width="5.90625" style="314" customWidth="1"/>
    <col min="2" max="2" width="53.90625" style="104" bestFit="1" customWidth="1"/>
    <col min="3" max="3" width="7.36328125" style="104" bestFit="1" customWidth="1"/>
    <col min="4" max="8" width="9.36328125" style="104" customWidth="1"/>
    <col min="9" max="9" width="2.08984375" style="104" customWidth="1"/>
    <col min="10" max="11" width="9.6328125" style="104" customWidth="1"/>
    <col min="12" max="12" width="1.453125" style="104" bestFit="1" customWidth="1"/>
    <col min="13" max="16384" width="9.26953125" style="104"/>
  </cols>
  <sheetData>
    <row r="1" spans="1:13" ht="15.6">
      <c r="A1" s="419" t="s">
        <v>162</v>
      </c>
      <c r="B1" s="251"/>
      <c r="C1" s="252"/>
      <c r="D1" s="252"/>
      <c r="E1" s="252"/>
      <c r="F1" s="252"/>
      <c r="G1" s="253"/>
      <c r="H1" s="253"/>
      <c r="I1" s="522"/>
      <c r="J1" s="522"/>
      <c r="K1" s="254"/>
      <c r="L1" s="255" t="s">
        <v>30</v>
      </c>
      <c r="M1" s="256"/>
    </row>
    <row r="2" spans="1:13" ht="15.6">
      <c r="A2" s="425" t="s">
        <v>21</v>
      </c>
      <c r="B2" s="257"/>
      <c r="C2" s="258"/>
      <c r="D2" s="258"/>
      <c r="E2" s="258"/>
      <c r="F2" s="258"/>
      <c r="G2" s="259"/>
      <c r="H2" s="259"/>
      <c r="I2" s="523"/>
      <c r="J2" s="523"/>
      <c r="K2" s="260"/>
      <c r="L2" s="261"/>
      <c r="M2" s="256"/>
    </row>
    <row r="3" spans="1:13" ht="15.6">
      <c r="A3" s="430">
        <v>2024</v>
      </c>
      <c r="B3" s="259"/>
      <c r="C3" s="259"/>
      <c r="D3" s="259"/>
      <c r="E3" s="259"/>
      <c r="F3" s="259"/>
      <c r="G3" s="259"/>
      <c r="H3" s="262"/>
      <c r="I3" s="524"/>
      <c r="J3" s="524"/>
      <c r="K3" s="263"/>
      <c r="L3" s="264"/>
      <c r="M3" s="256"/>
    </row>
    <row r="4" spans="1:13">
      <c r="A4" s="342"/>
      <c r="B4" s="265"/>
      <c r="C4" s="256"/>
      <c r="D4" s="256"/>
      <c r="E4" s="256"/>
      <c r="F4" s="256"/>
      <c r="G4" s="256"/>
      <c r="H4" s="256"/>
      <c r="I4" s="525"/>
      <c r="J4" s="525"/>
      <c r="K4" s="256"/>
      <c r="L4" s="505"/>
      <c r="M4" s="505"/>
    </row>
    <row r="5" spans="1:13">
      <c r="A5" s="342"/>
      <c r="B5" s="265"/>
      <c r="C5" s="256"/>
      <c r="L5" s="505"/>
      <c r="M5" s="505"/>
    </row>
    <row r="6" spans="1:13">
      <c r="A6" s="342"/>
      <c r="B6" s="265"/>
      <c r="C6" s="266"/>
      <c r="D6" s="267" t="s">
        <v>198</v>
      </c>
      <c r="E6" s="267" t="s">
        <v>211</v>
      </c>
      <c r="F6" s="267" t="s">
        <v>211</v>
      </c>
      <c r="G6" s="267" t="s">
        <v>211</v>
      </c>
      <c r="H6" s="267" t="s">
        <v>211</v>
      </c>
      <c r="I6" s="526"/>
      <c r="J6" s="527"/>
      <c r="K6" s="256"/>
      <c r="L6" s="504"/>
      <c r="M6" s="505"/>
    </row>
    <row r="7" spans="1:13" ht="22.8">
      <c r="A7" s="342"/>
      <c r="B7" s="265"/>
      <c r="C7" s="266"/>
      <c r="D7" s="269">
        <v>2024</v>
      </c>
      <c r="E7" s="269">
        <v>2025</v>
      </c>
      <c r="F7" s="269">
        <v>2026</v>
      </c>
      <c r="G7" s="269">
        <v>2027</v>
      </c>
      <c r="H7" s="269">
        <v>2028</v>
      </c>
      <c r="I7" s="270"/>
      <c r="J7" s="271" t="s">
        <v>58</v>
      </c>
      <c r="K7" s="272" t="s">
        <v>59</v>
      </c>
      <c r="L7" s="266"/>
      <c r="M7" s="256"/>
    </row>
    <row r="8" spans="1:13">
      <c r="A8" s="342"/>
      <c r="B8" s="265"/>
      <c r="C8" s="265"/>
      <c r="D8" s="265"/>
      <c r="E8" s="265"/>
      <c r="F8" s="265"/>
      <c r="G8" s="265"/>
      <c r="H8" s="265"/>
      <c r="I8" s="265"/>
      <c r="J8" s="265"/>
      <c r="K8" s="265"/>
      <c r="L8" s="507"/>
      <c r="M8" s="507"/>
    </row>
    <row r="9" spans="1:13">
      <c r="A9" s="342"/>
      <c r="B9" s="273" t="s">
        <v>56</v>
      </c>
      <c r="C9" s="274"/>
      <c r="D9" s="274"/>
      <c r="E9" s="274"/>
      <c r="F9" s="274"/>
      <c r="G9" s="274"/>
      <c r="H9" s="274"/>
      <c r="I9" s="520"/>
      <c r="J9" s="520"/>
      <c r="K9" s="274"/>
      <c r="L9" s="513"/>
      <c r="M9" s="513"/>
    </row>
    <row r="10" spans="1:13">
      <c r="A10" s="342"/>
      <c r="B10" s="275"/>
      <c r="C10" s="256"/>
      <c r="D10" s="256"/>
      <c r="E10" s="256"/>
      <c r="F10" s="256"/>
      <c r="G10" s="256"/>
      <c r="H10" s="256"/>
      <c r="I10" s="521"/>
      <c r="J10" s="521"/>
      <c r="K10" s="256"/>
      <c r="L10" s="505"/>
      <c r="M10" s="505"/>
    </row>
    <row r="11" spans="1:13">
      <c r="A11" s="342"/>
      <c r="B11" s="276" t="s">
        <v>107</v>
      </c>
      <c r="C11" s="277" t="s">
        <v>163</v>
      </c>
      <c r="D11" s="316">
        <f t="shared" ref="D11:H20" si="0">D69/D$96</f>
        <v>5.2833944000000008E-2</v>
      </c>
      <c r="E11" s="316">
        <f t="shared" si="0"/>
        <v>5.587545800000001E-2</v>
      </c>
      <c r="F11" s="316">
        <f t="shared" si="0"/>
        <v>5.5175427000000027E-2</v>
      </c>
      <c r="G11" s="316">
        <f t="shared" si="0"/>
        <v>5.5320261000000003E-2</v>
      </c>
      <c r="H11" s="316">
        <f t="shared" si="0"/>
        <v>5.5489234000000019E-2</v>
      </c>
      <c r="I11" s="278"/>
      <c r="J11" s="317">
        <f>AVERAGE(D69:INDEX(D69:H69,0,MATCH(Data!$B$3,$D$7:$H$7,0)))/AVERAGE($D$96:INDEX($D$96:$H$96,0,MATCH(Data!$B$3,$D$7:$H$7,0)))</f>
        <v>5.2833944000000008E-2</v>
      </c>
      <c r="K11" s="317">
        <f t="shared" ref="K11:K32" si="1">AVERAGE(D69:H69)/AVERAGE($D$96:$H$96)</f>
        <v>5.4975150237532869E-2</v>
      </c>
      <c r="L11" s="504"/>
      <c r="M11" s="505"/>
    </row>
    <row r="12" spans="1:13">
      <c r="A12" s="342"/>
      <c r="B12" s="276" t="s">
        <v>108</v>
      </c>
      <c r="C12" s="277" t="s">
        <v>163</v>
      </c>
      <c r="D12" s="316">
        <f t="shared" si="0"/>
        <v>8.7395682968380919E-3</v>
      </c>
      <c r="E12" s="316">
        <f t="shared" si="0"/>
        <v>8.6658316981051264E-3</v>
      </c>
      <c r="F12" s="316">
        <f t="shared" si="0"/>
        <v>-8.2998325182541261E-5</v>
      </c>
      <c r="G12" s="316">
        <f t="shared" si="0"/>
        <v>-3.0788324918911667E-4</v>
      </c>
      <c r="H12" s="316">
        <f t="shared" si="0"/>
        <v>8.0041628797809152E-3</v>
      </c>
      <c r="I12" s="278"/>
      <c r="J12" s="317">
        <f>AVERAGE(D70:INDEX(D70:H70,0,MATCH(Data!$B$3,$D$7:$H$7,0)))/AVERAGE($D$96:INDEX($D$96:$H$96,0,MATCH(Data!$B$3,$D$7:$H$7,0)))</f>
        <v>8.7395682968380919E-3</v>
      </c>
      <c r="K12" s="317">
        <f t="shared" si="1"/>
        <v>4.9184182221923885E-3</v>
      </c>
      <c r="L12" s="504"/>
      <c r="M12" s="505"/>
    </row>
    <row r="13" spans="1:13">
      <c r="A13" s="342" t="s">
        <v>212</v>
      </c>
      <c r="B13" s="276" t="s">
        <v>109</v>
      </c>
      <c r="C13" s="277" t="s">
        <v>163</v>
      </c>
      <c r="D13" s="316">
        <f t="shared" si="0"/>
        <v>1.1610250851852358E-3</v>
      </c>
      <c r="E13" s="316">
        <f t="shared" si="0"/>
        <v>4.3247044886162513E-4</v>
      </c>
      <c r="F13" s="316">
        <f t="shared" si="0"/>
        <v>4.1324023637571153E-4</v>
      </c>
      <c r="G13" s="316">
        <f t="shared" si="0"/>
        <v>3.9519844996407227E-4</v>
      </c>
      <c r="H13" s="316">
        <f t="shared" si="0"/>
        <v>3.8038811426090071E-4</v>
      </c>
      <c r="I13" s="278"/>
      <c r="J13" s="317">
        <f>AVERAGE(D71:INDEX(D71:H71,0,MATCH(Data!$B$3,$D$7:$H$7,0)))/AVERAGE($D$96:INDEX($D$96:$H$96,0,MATCH(Data!$B$3,$D$7:$H$7,0)))</f>
        <v>1.1610250851852358E-3</v>
      </c>
      <c r="K13" s="317">
        <f t="shared" si="1"/>
        <v>5.4397505437005645E-4</v>
      </c>
      <c r="L13" s="504"/>
      <c r="M13" s="505"/>
    </row>
    <row r="14" spans="1:13">
      <c r="A14" s="342" t="s">
        <v>213</v>
      </c>
      <c r="B14" s="276" t="s">
        <v>110</v>
      </c>
      <c r="C14" s="277" t="s">
        <v>163</v>
      </c>
      <c r="D14" s="316">
        <f t="shared" si="0"/>
        <v>5.2873902032331949E-4</v>
      </c>
      <c r="E14" s="316">
        <f t="shared" si="0"/>
        <v>5.1539896531825179E-4</v>
      </c>
      <c r="F14" s="316">
        <f t="shared" si="0"/>
        <v>5.2543786637885474E-4</v>
      </c>
      <c r="G14" s="316">
        <f t="shared" si="0"/>
        <v>5.1983799310622084E-4</v>
      </c>
      <c r="H14" s="316">
        <f t="shared" si="0"/>
        <v>5.2205205130946271E-4</v>
      </c>
      <c r="I14" s="278"/>
      <c r="J14" s="317">
        <f>AVERAGE(D72:INDEX(D72:H72,0,MATCH(Data!$B$3,$D$7:$H$7,0)))/AVERAGE($D$96:INDEX($D$96:$H$96,0,MATCH(Data!$B$3,$D$7:$H$7,0)))</f>
        <v>5.2873902032331949E-4</v>
      </c>
      <c r="K14" s="317">
        <f t="shared" si="1"/>
        <v>5.2223094222775463E-4</v>
      </c>
      <c r="L14" s="504"/>
      <c r="M14" s="505"/>
    </row>
    <row r="15" spans="1:13">
      <c r="A15" s="342" t="s">
        <v>214</v>
      </c>
      <c r="B15" s="276" t="s">
        <v>111</v>
      </c>
      <c r="C15" s="277" t="s">
        <v>163</v>
      </c>
      <c r="D15" s="316">
        <f t="shared" si="0"/>
        <v>4.4991663120315715E-4</v>
      </c>
      <c r="E15" s="316">
        <f t="shared" si="0"/>
        <v>1.4582249959039749E-3</v>
      </c>
      <c r="F15" s="316">
        <f t="shared" si="0"/>
        <v>1.5467830510611021E-3</v>
      </c>
      <c r="G15" s="316">
        <f t="shared" si="0"/>
        <v>1.6369419192047985E-3</v>
      </c>
      <c r="H15" s="316">
        <f t="shared" si="0"/>
        <v>1.7105537261972673E-3</v>
      </c>
      <c r="I15" s="278"/>
      <c r="J15" s="317">
        <f>AVERAGE(D73:INDEX(D73:H73,0,MATCH(Data!$B$3,$D$7:$H$7,0)))/AVERAGE($D$96:INDEX($D$96:$H$96,0,MATCH(Data!$B$3,$D$7:$H$7,0)))</f>
        <v>4.4991663120315715E-4</v>
      </c>
      <c r="K15" s="317">
        <f t="shared" si="1"/>
        <v>1.3818529553722718E-3</v>
      </c>
      <c r="L15" s="504"/>
      <c r="M15" s="505"/>
    </row>
    <row r="16" spans="1:13">
      <c r="A16" s="342" t="s">
        <v>215</v>
      </c>
      <c r="B16" s="276" t="s">
        <v>112</v>
      </c>
      <c r="C16" s="277" t="s">
        <v>163</v>
      </c>
      <c r="D16" s="316">
        <f t="shared" si="0"/>
        <v>-2.6198791384284461E-3</v>
      </c>
      <c r="E16" s="316">
        <f t="shared" si="0"/>
        <v>-2.284882730552931E-6</v>
      </c>
      <c r="F16" s="316">
        <f t="shared" si="0"/>
        <v>6.8116861957400821E-4</v>
      </c>
      <c r="G16" s="316">
        <f t="shared" si="0"/>
        <v>1.0203327099350776E-3</v>
      </c>
      <c r="H16" s="316">
        <f t="shared" si="0"/>
        <v>1.2158044727597923E-3</v>
      </c>
      <c r="I16" s="278"/>
      <c r="J16" s="317">
        <f>AVERAGE(D74:INDEX(D74:H74,0,MATCH(Data!$B$3,$D$7:$H$7,0)))/AVERAGE($D$96:INDEX($D$96:$H$96,0,MATCH(Data!$B$3,$D$7:$H$7,0)))</f>
        <v>-2.6198791384284461E-3</v>
      </c>
      <c r="K16" s="317">
        <f t="shared" si="1"/>
        <v>1.2852468559543335E-4</v>
      </c>
      <c r="L16" s="504"/>
      <c r="M16" s="505"/>
    </row>
    <row r="17" spans="1:13">
      <c r="A17" s="342" t="s">
        <v>216</v>
      </c>
      <c r="B17" s="276" t="s">
        <v>113</v>
      </c>
      <c r="C17" s="277" t="s">
        <v>163</v>
      </c>
      <c r="D17" s="316">
        <f t="shared" si="0"/>
        <v>-6.4617969829102302E-5</v>
      </c>
      <c r="E17" s="316">
        <f t="shared" si="0"/>
        <v>0</v>
      </c>
      <c r="F17" s="316">
        <f t="shared" si="0"/>
        <v>0</v>
      </c>
      <c r="G17" s="316">
        <f t="shared" si="0"/>
        <v>0</v>
      </c>
      <c r="H17" s="316">
        <f t="shared" si="0"/>
        <v>0</v>
      </c>
      <c r="I17" s="278"/>
      <c r="J17" s="317">
        <f>AVERAGE(D75:INDEX(D75:H75,0,MATCH(Data!$B$3,$D$7:$H$7,0)))/AVERAGE($D$96:INDEX($D$96:$H$96,0,MATCH(Data!$B$3,$D$7:$H$7,0)))</f>
        <v>-6.4617969829102302E-5</v>
      </c>
      <c r="K17" s="317">
        <f t="shared" si="1"/>
        <v>-1.1920876251173876E-5</v>
      </c>
      <c r="L17" s="504"/>
      <c r="M17" s="505"/>
    </row>
    <row r="18" spans="1:13">
      <c r="A18" s="342" t="s">
        <v>217</v>
      </c>
      <c r="B18" s="276" t="s">
        <v>114</v>
      </c>
      <c r="C18" s="277" t="s">
        <v>163</v>
      </c>
      <c r="D18" s="316">
        <f t="shared" si="0"/>
        <v>0</v>
      </c>
      <c r="E18" s="316">
        <f t="shared" si="0"/>
        <v>1.3477191279128919E-3</v>
      </c>
      <c r="F18" s="316">
        <f t="shared" si="0"/>
        <v>0</v>
      </c>
      <c r="G18" s="316">
        <f t="shared" si="0"/>
        <v>0</v>
      </c>
      <c r="H18" s="316">
        <f t="shared" si="0"/>
        <v>2.0073651663899054E-3</v>
      </c>
      <c r="I18" s="278"/>
      <c r="J18" s="317">
        <f>AVERAGE(D76:INDEX(D76:H76,0,MATCH(Data!$B$3,$D$7:$H$7,0)))/AVERAGE($D$96:INDEX($D$96:$H$96,0,MATCH(Data!$B$3,$D$7:$H$7,0)))</f>
        <v>0</v>
      </c>
      <c r="K18" s="317">
        <f t="shared" si="1"/>
        <v>6.9201359573386762E-4</v>
      </c>
      <c r="L18" s="504"/>
      <c r="M18" s="505"/>
    </row>
    <row r="19" spans="1:13">
      <c r="A19" s="342" t="s">
        <v>218</v>
      </c>
      <c r="B19" s="276" t="s">
        <v>115</v>
      </c>
      <c r="C19" s="277" t="s">
        <v>163</v>
      </c>
      <c r="D19" s="316">
        <f t="shared" si="0"/>
        <v>1.6208346029230709E-3</v>
      </c>
      <c r="E19" s="316">
        <f t="shared" si="0"/>
        <v>1.1772238592565986E-3</v>
      </c>
      <c r="F19" s="316">
        <f t="shared" si="0"/>
        <v>1.1744420177946203E-3</v>
      </c>
      <c r="G19" s="316">
        <f t="shared" si="0"/>
        <v>1.1574029409595979E-3</v>
      </c>
      <c r="H19" s="316">
        <f t="shared" si="0"/>
        <v>1.1541195340173194E-3</v>
      </c>
      <c r="I19" s="278"/>
      <c r="J19" s="317">
        <f>AVERAGE(D77:INDEX(D77:H77,0,MATCH(Data!$B$3,$D$7:$H$7,0)))/AVERAGE($D$96:INDEX($D$96:$H$96,0,MATCH(Data!$B$3,$D$7:$H$7,0)))</f>
        <v>1.6208346029230709E-3</v>
      </c>
      <c r="K19" s="317">
        <f t="shared" si="1"/>
        <v>1.2493644446034239E-3</v>
      </c>
      <c r="L19" s="504"/>
      <c r="M19" s="505"/>
    </row>
    <row r="20" spans="1:13">
      <c r="A20" s="342" t="s">
        <v>219</v>
      </c>
      <c r="B20" s="276" t="s">
        <v>116</v>
      </c>
      <c r="C20" s="277" t="s">
        <v>163</v>
      </c>
      <c r="D20" s="316">
        <f t="shared" si="0"/>
        <v>3.4431787521902307E-5</v>
      </c>
      <c r="E20" s="316">
        <f t="shared" si="0"/>
        <v>4.9918447428123467E-5</v>
      </c>
      <c r="F20" s="316">
        <f t="shared" si="0"/>
        <v>5.5648571859278653E-5</v>
      </c>
      <c r="G20" s="316">
        <f t="shared" si="0"/>
        <v>6.0821706547074251E-5</v>
      </c>
      <c r="H20" s="316">
        <f t="shared" si="0"/>
        <v>5.8542370957362677E-5</v>
      </c>
      <c r="I20" s="278"/>
      <c r="J20" s="317">
        <f>AVERAGE(D78:INDEX(D78:H78,0,MATCH(Data!$B$3,$D$7:$H$7,0)))/AVERAGE($D$96:INDEX($D$96:$H$96,0,MATCH(Data!$B$3,$D$7:$H$7,0)))</f>
        <v>3.4431787521902307E-5</v>
      </c>
      <c r="K20" s="317">
        <f t="shared" si="1"/>
        <v>5.2348487545159356E-5</v>
      </c>
      <c r="L20" s="504"/>
      <c r="M20" s="505"/>
    </row>
    <row r="21" spans="1:13">
      <c r="A21" s="342" t="s">
        <v>220</v>
      </c>
      <c r="B21" s="276" t="s">
        <v>117</v>
      </c>
      <c r="C21" s="277" t="s">
        <v>163</v>
      </c>
      <c r="D21" s="316">
        <f t="shared" ref="D21:H30" si="2">D79/D$96</f>
        <v>1.333048294169121E-4</v>
      </c>
      <c r="E21" s="316">
        <f t="shared" si="2"/>
        <v>1.160519007385116E-4</v>
      </c>
      <c r="F21" s="316">
        <f t="shared" si="2"/>
        <v>1.2326239787197374E-4</v>
      </c>
      <c r="G21" s="316">
        <f t="shared" si="2"/>
        <v>1.1788084578862161E-4</v>
      </c>
      <c r="H21" s="316">
        <f t="shared" si="2"/>
        <v>1.2485056663355919E-4</v>
      </c>
      <c r="I21" s="278"/>
      <c r="J21" s="317">
        <f>AVERAGE(D79:INDEX(D79:H79,0,MATCH(Data!$B$3,$D$7:$H$7,0)))/AVERAGE($D$96:INDEX($D$96:$H$96,0,MATCH(Data!$B$3,$D$7:$H$7,0)))</f>
        <v>1.333048294169121E-4</v>
      </c>
      <c r="K21" s="317">
        <f t="shared" si="1"/>
        <v>1.2296195465175049E-4</v>
      </c>
      <c r="L21" s="504"/>
      <c r="M21" s="505"/>
    </row>
    <row r="22" spans="1:13">
      <c r="A22" s="342" t="s">
        <v>221</v>
      </c>
      <c r="B22" s="276" t="s">
        <v>118</v>
      </c>
      <c r="C22" s="277" t="s">
        <v>163</v>
      </c>
      <c r="D22" s="316">
        <f t="shared" si="2"/>
        <v>-5.4519000990741591E-5</v>
      </c>
      <c r="E22" s="316">
        <f t="shared" si="2"/>
        <v>-1.2898097923621986E-4</v>
      </c>
      <c r="F22" s="316">
        <f t="shared" si="2"/>
        <v>-1.6208440592574373E-4</v>
      </c>
      <c r="G22" s="316">
        <f t="shared" si="2"/>
        <v>-6.643512606801613E-5</v>
      </c>
      <c r="H22" s="316">
        <f t="shared" si="2"/>
        <v>-6.204264339923462E-5</v>
      </c>
      <c r="I22" s="278"/>
      <c r="J22" s="317">
        <f>AVERAGE(D80:INDEX(D80:H80,0,MATCH(Data!$B$3,$D$7:$H$7,0)))/AVERAGE($D$96:INDEX($D$96:$H$96,0,MATCH(Data!$B$3,$D$7:$H$7,0)))</f>
        <v>-5.4519000990741591E-5</v>
      </c>
      <c r="K22" s="317">
        <f t="shared" si="1"/>
        <v>-9.429180189233908E-5</v>
      </c>
      <c r="L22" s="504"/>
      <c r="M22" s="505"/>
    </row>
    <row r="23" spans="1:13">
      <c r="A23" s="342" t="s">
        <v>222</v>
      </c>
      <c r="B23" s="276" t="s">
        <v>119</v>
      </c>
      <c r="C23" s="277" t="s">
        <v>163</v>
      </c>
      <c r="D23" s="316">
        <f t="shared" si="2"/>
        <v>-6.0675883895527406E-5</v>
      </c>
      <c r="E23" s="316">
        <f t="shared" si="2"/>
        <v>0</v>
      </c>
      <c r="F23" s="316">
        <f t="shared" si="2"/>
        <v>0</v>
      </c>
      <c r="G23" s="316">
        <f t="shared" si="2"/>
        <v>0</v>
      </c>
      <c r="H23" s="316">
        <f t="shared" si="2"/>
        <v>0</v>
      </c>
      <c r="I23" s="278"/>
      <c r="J23" s="317">
        <f>AVERAGE(D81:INDEX(D81:H81,0,MATCH(Data!$B$3,$D$7:$H$7,0)))/AVERAGE($D$96:INDEX($D$96:$H$96,0,MATCH(Data!$B$3,$D$7:$H$7,0)))</f>
        <v>-6.0675883895527406E-5</v>
      </c>
      <c r="K23" s="317">
        <f t="shared" si="1"/>
        <v>-1.1193630893420852E-5</v>
      </c>
      <c r="L23" s="504"/>
      <c r="M23" s="505"/>
    </row>
    <row r="24" spans="1:13">
      <c r="A24" s="342" t="s">
        <v>223</v>
      </c>
      <c r="B24" s="276" t="s">
        <v>120</v>
      </c>
      <c r="C24" s="277" t="s">
        <v>163</v>
      </c>
      <c r="D24" s="316">
        <f t="shared" si="2"/>
        <v>-5.5039186333165144E-5</v>
      </c>
      <c r="E24" s="316">
        <f t="shared" si="2"/>
        <v>-2.9548059482540173E-5</v>
      </c>
      <c r="F24" s="316">
        <f t="shared" si="2"/>
        <v>-3.6569227758320628E-5</v>
      </c>
      <c r="G24" s="316">
        <f t="shared" si="2"/>
        <v>-2.8016566280521716E-5</v>
      </c>
      <c r="H24" s="316">
        <f t="shared" si="2"/>
        <v>-2.4532339521249153E-5</v>
      </c>
      <c r="I24" s="278"/>
      <c r="J24" s="317">
        <f>AVERAGE(D82:INDEX(D82:H82,0,MATCH(Data!$B$3,$D$7:$H$7,0)))/AVERAGE($D$96:INDEX($D$96:$H$96,0,MATCH(Data!$B$3,$D$7:$H$7,0)))</f>
        <v>-5.5039186333165144E-5</v>
      </c>
      <c r="K24" s="317">
        <f t="shared" si="1"/>
        <v>-3.424490865549217E-5</v>
      </c>
      <c r="L24" s="504"/>
      <c r="M24" s="505"/>
    </row>
    <row r="25" spans="1:13">
      <c r="A25" s="342" t="s">
        <v>224</v>
      </c>
      <c r="B25" s="276">
        <v>0</v>
      </c>
      <c r="C25" s="277" t="s">
        <v>163</v>
      </c>
      <c r="D25" s="316">
        <f t="shared" si="2"/>
        <v>0</v>
      </c>
      <c r="E25" s="316">
        <f t="shared" si="2"/>
        <v>0</v>
      </c>
      <c r="F25" s="316">
        <f t="shared" si="2"/>
        <v>0</v>
      </c>
      <c r="G25" s="316">
        <f t="shared" si="2"/>
        <v>0</v>
      </c>
      <c r="H25" s="316">
        <f t="shared" si="2"/>
        <v>0</v>
      </c>
      <c r="I25" s="278"/>
      <c r="J25" s="317">
        <f>AVERAGE(D83:INDEX(D83:H83,0,MATCH(Data!$B$3,$D$7:$H$7,0)))/AVERAGE($D$96:INDEX($D$96:$H$96,0,MATCH(Data!$B$3,$D$7:$H$7,0)))</f>
        <v>0</v>
      </c>
      <c r="K25" s="317">
        <f t="shared" si="1"/>
        <v>0</v>
      </c>
      <c r="L25" s="504"/>
      <c r="M25" s="505"/>
    </row>
    <row r="26" spans="1:13">
      <c r="A26" s="342" t="s">
        <v>225</v>
      </c>
      <c r="B26" s="276">
        <v>0</v>
      </c>
      <c r="C26" s="277" t="s">
        <v>163</v>
      </c>
      <c r="D26" s="316">
        <f t="shared" si="2"/>
        <v>0</v>
      </c>
      <c r="E26" s="316">
        <f t="shared" si="2"/>
        <v>0</v>
      </c>
      <c r="F26" s="316">
        <f t="shared" si="2"/>
        <v>0</v>
      </c>
      <c r="G26" s="316">
        <f t="shared" si="2"/>
        <v>0</v>
      </c>
      <c r="H26" s="316">
        <f t="shared" si="2"/>
        <v>0</v>
      </c>
      <c r="I26" s="278"/>
      <c r="J26" s="317">
        <f>AVERAGE(D84:INDEX(D84:H84,0,MATCH(Data!$B$3,$D$7:$H$7,0)))/AVERAGE($D$96:INDEX($D$96:$H$96,0,MATCH(Data!$B$3,$D$7:$H$7,0)))</f>
        <v>0</v>
      </c>
      <c r="K26" s="317">
        <f t="shared" si="1"/>
        <v>0</v>
      </c>
      <c r="L26" s="504"/>
      <c r="M26" s="505"/>
    </row>
    <row r="27" spans="1:13">
      <c r="A27" s="342" t="s">
        <v>226</v>
      </c>
      <c r="B27" s="276">
        <v>0</v>
      </c>
      <c r="C27" s="277" t="s">
        <v>163</v>
      </c>
      <c r="D27" s="316">
        <f t="shared" si="2"/>
        <v>0</v>
      </c>
      <c r="E27" s="316">
        <f t="shared" si="2"/>
        <v>0</v>
      </c>
      <c r="F27" s="316">
        <f t="shared" si="2"/>
        <v>0</v>
      </c>
      <c r="G27" s="316">
        <f t="shared" si="2"/>
        <v>0</v>
      </c>
      <c r="H27" s="316">
        <f t="shared" si="2"/>
        <v>0</v>
      </c>
      <c r="I27" s="278"/>
      <c r="J27" s="317">
        <f>AVERAGE(D85:INDEX(D85:H85,0,MATCH(Data!$B$3,$D$7:$H$7,0)))/AVERAGE($D$96:INDEX($D$96:$H$96,0,MATCH(Data!$B$3,$D$7:$H$7,0)))</f>
        <v>0</v>
      </c>
      <c r="K27" s="317">
        <f t="shared" si="1"/>
        <v>0</v>
      </c>
      <c r="L27" s="504"/>
      <c r="M27" s="505"/>
    </row>
    <row r="28" spans="1:13">
      <c r="A28" s="342"/>
      <c r="B28" s="276">
        <v>0</v>
      </c>
      <c r="C28" s="277" t="s">
        <v>163</v>
      </c>
      <c r="D28" s="316">
        <f t="shared" si="2"/>
        <v>0</v>
      </c>
      <c r="E28" s="316">
        <f t="shared" si="2"/>
        <v>0</v>
      </c>
      <c r="F28" s="316">
        <f t="shared" si="2"/>
        <v>0</v>
      </c>
      <c r="G28" s="316">
        <f t="shared" si="2"/>
        <v>0</v>
      </c>
      <c r="H28" s="316">
        <f t="shared" si="2"/>
        <v>0</v>
      </c>
      <c r="I28" s="278"/>
      <c r="J28" s="317">
        <f>AVERAGE(D86:INDEX(D86:H86,0,MATCH(Data!$B$3,$D$7:$H$7,0)))/AVERAGE($D$96:INDEX($D$96:$H$96,0,MATCH(Data!$B$3,$D$7:$H$7,0)))</f>
        <v>0</v>
      </c>
      <c r="K28" s="317">
        <f t="shared" si="1"/>
        <v>0</v>
      </c>
      <c r="L28" s="268"/>
      <c r="M28" s="256"/>
    </row>
    <row r="29" spans="1:13">
      <c r="A29" s="342"/>
      <c r="B29" s="276">
        <v>0</v>
      </c>
      <c r="C29" s="277" t="s">
        <v>163</v>
      </c>
      <c r="D29" s="316">
        <f t="shared" si="2"/>
        <v>0</v>
      </c>
      <c r="E29" s="316">
        <f t="shared" si="2"/>
        <v>0</v>
      </c>
      <c r="F29" s="316">
        <f t="shared" si="2"/>
        <v>0</v>
      </c>
      <c r="G29" s="316">
        <f t="shared" si="2"/>
        <v>0</v>
      </c>
      <c r="H29" s="316">
        <f t="shared" si="2"/>
        <v>0</v>
      </c>
      <c r="I29" s="278"/>
      <c r="J29" s="317">
        <f>AVERAGE(D87:INDEX(D87:H87,0,MATCH(Data!$B$3,$D$7:$H$7,0)))/AVERAGE($D$96:INDEX($D$96:$H$96,0,MATCH(Data!$B$3,$D$7:$H$7,0)))</f>
        <v>0</v>
      </c>
      <c r="K29" s="317">
        <f t="shared" si="1"/>
        <v>0</v>
      </c>
      <c r="L29" s="268"/>
      <c r="M29" s="256"/>
    </row>
    <row r="30" spans="1:13">
      <c r="A30" s="342"/>
      <c r="B30" s="276" t="s">
        <v>121</v>
      </c>
      <c r="C30" s="277" t="s">
        <v>163</v>
      </c>
      <c r="D30" s="316">
        <f t="shared" si="2"/>
        <v>-4.2143449330172395E-4</v>
      </c>
      <c r="E30" s="316">
        <f t="shared" si="2"/>
        <v>-8.1487153067677566E-5</v>
      </c>
      <c r="F30" s="316">
        <f t="shared" si="2"/>
        <v>-7.666646496664616E-5</v>
      </c>
      <c r="G30" s="316">
        <f t="shared" si="2"/>
        <v>-4.4116827381163638E-5</v>
      </c>
      <c r="H30" s="316">
        <f t="shared" si="2"/>
        <v>-4.2281014955861064E-5</v>
      </c>
      <c r="I30" s="278"/>
      <c r="J30" s="317">
        <f>AVERAGE(D88:INDEX(D88:H88,0,MATCH(Data!$B$3,$D$7:$H$7,0)))/AVERAGE($D$96:INDEX($D$96:$H$96,0,MATCH(Data!$B$3,$D$7:$H$7,0)))</f>
        <v>-4.2143449330172395E-4</v>
      </c>
      <c r="K30" s="317">
        <f t="shared" si="1"/>
        <v>-1.2694576094322431E-4</v>
      </c>
      <c r="L30" s="268"/>
      <c r="M30" s="256"/>
    </row>
    <row r="31" spans="1:13">
      <c r="A31" s="342"/>
      <c r="B31" s="279" t="s">
        <v>122</v>
      </c>
      <c r="C31" s="277" t="s">
        <v>163</v>
      </c>
      <c r="D31" s="318">
        <f>SUM(D11:D30)</f>
        <v>6.2225598580632986E-2</v>
      </c>
      <c r="E31" s="318">
        <f t="shared" ref="E31:H31" si="3">SUM(E11:E30)</f>
        <v>6.9395996369008131E-2</v>
      </c>
      <c r="F31" s="318">
        <f t="shared" si="3"/>
        <v>5.9337091337082322E-2</v>
      </c>
      <c r="G31" s="318">
        <f t="shared" si="3"/>
        <v>5.9782225796586645E-2</v>
      </c>
      <c r="H31" s="318">
        <f t="shared" si="3"/>
        <v>7.0538216884430155E-2</v>
      </c>
      <c r="I31" s="319"/>
      <c r="J31" s="318">
        <f>SUM(J11:J30)</f>
        <v>6.2225598580632986E-2</v>
      </c>
      <c r="K31" s="318">
        <f>SUM(K11:K30)</f>
        <v>6.4308243601189322E-2</v>
      </c>
      <c r="L31" s="268"/>
      <c r="M31" s="256"/>
    </row>
    <row r="32" spans="1:13">
      <c r="A32" s="342"/>
      <c r="B32" s="276" t="s">
        <v>123</v>
      </c>
      <c r="C32" s="277" t="s">
        <v>163</v>
      </c>
      <c r="D32" s="316">
        <f t="shared" ref="D32" si="4">D90/D$96</f>
        <v>8.1982973196760733E-2</v>
      </c>
      <c r="E32" s="316">
        <f t="shared" ref="E32:H32" si="5">E90/E$96</f>
        <v>1.257571872238729E-2</v>
      </c>
      <c r="F32" s="316">
        <f t="shared" si="5"/>
        <v>-7.6711771729287928E-4</v>
      </c>
      <c r="G32" s="316">
        <f t="shared" si="5"/>
        <v>-4.8137148979110163E-4</v>
      </c>
      <c r="H32" s="316">
        <f t="shared" si="5"/>
        <v>4.519446006873303E-3</v>
      </c>
      <c r="I32" s="278"/>
      <c r="J32" s="317">
        <f>AVERAGE(D90:INDEX(D90:H90,0,MATCH(Data!$B$3,$D$7:$H$7,0)))/AVERAGE($D$96:INDEX($D$96:$H$96,0,MATCH(Data!$B$3,$D$7:$H$7,0)))</f>
        <v>8.1982973196760733E-2</v>
      </c>
      <c r="K32" s="317">
        <f t="shared" si="1"/>
        <v>1.8247947074950557E-2</v>
      </c>
      <c r="L32" s="504"/>
      <c r="M32" s="505"/>
    </row>
    <row r="33" spans="1:13">
      <c r="A33" s="342"/>
      <c r="B33" s="276" t="s">
        <v>124</v>
      </c>
      <c r="C33" s="281" t="s">
        <v>163</v>
      </c>
      <c r="D33" s="316">
        <f>D92/D$96</f>
        <v>-3.2234089907764939E-3</v>
      </c>
      <c r="E33" s="316">
        <f t="shared" ref="E33:H33" si="6">E92/E$96</f>
        <v>2.6779526895955178E-3</v>
      </c>
      <c r="F33" s="316">
        <f t="shared" si="6"/>
        <v>-6.922436330453485E-4</v>
      </c>
      <c r="G33" s="316">
        <f t="shared" si="6"/>
        <v>2.0561364504589055E-3</v>
      </c>
      <c r="H33" s="316">
        <f t="shared" si="6"/>
        <v>1.7358735125143859E-3</v>
      </c>
      <c r="I33" s="278"/>
      <c r="J33" s="317">
        <f>AVERAGE(D92:INDEX(D92:H92,0,MATCH(Data!$B$3,$D$7:$H$7,0)))/AVERAGE($D$96:INDEX($D$96:$H$96,0,MATCH(Data!$B$3,$D$7:$H$7,0)))</f>
        <v>-3.2234089907764939E-3</v>
      </c>
      <c r="K33" s="317">
        <f>AVERAGE(D92:H92)/AVERAGE($D$96:$H$96)</f>
        <v>5.829459748315039E-4</v>
      </c>
      <c r="L33" s="514"/>
      <c r="M33" s="505"/>
    </row>
    <row r="34" spans="1:13">
      <c r="A34" s="342"/>
      <c r="B34" s="279" t="s">
        <v>125</v>
      </c>
      <c r="C34" s="277" t="s">
        <v>163</v>
      </c>
      <c r="D34" s="318">
        <f>SUM(D31:D33)</f>
        <v>0.14098516278661721</v>
      </c>
      <c r="E34" s="318">
        <f t="shared" ref="E34:H34" si="7">SUM(E31:E33)</f>
        <v>8.4649667780990936E-2</v>
      </c>
      <c r="F34" s="318">
        <f t="shared" si="7"/>
        <v>5.7877729986744092E-2</v>
      </c>
      <c r="G34" s="318">
        <f t="shared" si="7"/>
        <v>6.1356990757254447E-2</v>
      </c>
      <c r="H34" s="318">
        <f t="shared" si="7"/>
        <v>7.679353640381785E-2</v>
      </c>
      <c r="I34" s="319"/>
      <c r="J34" s="318">
        <f>SUM(J31:J33)</f>
        <v>0.14098516278661721</v>
      </c>
      <c r="K34" s="318">
        <f>SUM(K31:K33)</f>
        <v>8.313913665097139E-2</v>
      </c>
      <c r="L34" s="504"/>
      <c r="M34" s="505"/>
    </row>
    <row r="35" spans="1:13">
      <c r="A35" s="342"/>
      <c r="B35" s="265"/>
      <c r="C35" s="256"/>
      <c r="D35" s="278"/>
      <c r="E35" s="278"/>
      <c r="F35" s="278"/>
      <c r="G35" s="278"/>
      <c r="H35" s="278"/>
      <c r="I35" s="278"/>
      <c r="J35" s="278"/>
      <c r="K35" s="278"/>
      <c r="L35" s="505"/>
      <c r="M35" s="505"/>
    </row>
    <row r="36" spans="1:13">
      <c r="A36" s="342"/>
      <c r="B36" s="265"/>
      <c r="C36" s="256"/>
      <c r="D36" s="278"/>
      <c r="E36" s="278"/>
      <c r="F36" s="278"/>
      <c r="G36" s="278"/>
      <c r="H36" s="278"/>
      <c r="I36" s="518"/>
      <c r="J36" s="518"/>
      <c r="K36" s="278"/>
      <c r="L36" s="505"/>
      <c r="M36" s="505"/>
    </row>
    <row r="37" spans="1:13">
      <c r="A37" s="342"/>
      <c r="B37" s="265"/>
      <c r="C37" s="256"/>
      <c r="D37" s="278"/>
      <c r="E37" s="278"/>
      <c r="F37" s="278"/>
      <c r="G37" s="278"/>
      <c r="H37" s="278"/>
      <c r="I37" s="518"/>
      <c r="J37" s="518"/>
      <c r="K37" s="278"/>
      <c r="L37" s="505"/>
      <c r="M37" s="505"/>
    </row>
    <row r="38" spans="1:13">
      <c r="A38" s="342"/>
      <c r="B38" s="273" t="s">
        <v>57</v>
      </c>
      <c r="C38" s="274"/>
      <c r="D38" s="320"/>
      <c r="E38" s="320"/>
      <c r="F38" s="320"/>
      <c r="G38" s="320"/>
      <c r="H38" s="320"/>
      <c r="I38" s="519"/>
      <c r="J38" s="519"/>
      <c r="K38" s="320"/>
      <c r="L38" s="513"/>
      <c r="M38" s="513"/>
    </row>
    <row r="39" spans="1:13">
      <c r="A39" s="342"/>
      <c r="B39" s="275"/>
      <c r="C39" s="256"/>
      <c r="D39" s="278"/>
      <c r="E39" s="278"/>
      <c r="F39" s="278"/>
      <c r="G39" s="278"/>
      <c r="H39" s="278"/>
      <c r="I39" s="515"/>
      <c r="J39" s="515"/>
      <c r="K39" s="278"/>
      <c r="L39" s="505"/>
      <c r="M39" s="505"/>
    </row>
    <row r="40" spans="1:13">
      <c r="A40" s="342"/>
      <c r="B40" s="276" t="s">
        <v>107</v>
      </c>
      <c r="C40" s="277" t="s">
        <v>163</v>
      </c>
      <c r="D40" s="282">
        <f t="shared" ref="D40:H49" si="8">D69/D$97</f>
        <v>4.5326831431861281E-2</v>
      </c>
      <c r="E40" s="283">
        <f t="shared" si="8"/>
        <v>5.1197820494640833E-2</v>
      </c>
      <c r="F40" s="283">
        <f t="shared" si="8"/>
        <v>5.3141115872208773E-2</v>
      </c>
      <c r="G40" s="283">
        <f t="shared" si="8"/>
        <v>5.4859239959901246E-2</v>
      </c>
      <c r="H40" s="283">
        <f t="shared" si="8"/>
        <v>5.5000911249872678E-2</v>
      </c>
      <c r="I40" s="194"/>
      <c r="J40" s="284">
        <f>AVERAGE(D69:INDEX(D69:H69,0,MATCH(Data!$B$3,$D$7:$H$7,0)))/AVERAGE($D$97:INDEX($D$97:$H$97,0,MATCH(Data!$B$3,$D$7:$H$7,0)))</f>
        <v>4.5326831431861281E-2</v>
      </c>
      <c r="K40" s="285">
        <f t="shared" ref="K40:K59" si="9">AVERAGE(D69:H69)/AVERAGE($D$97:$H$97)</f>
        <v>5.1898250256283855E-2</v>
      </c>
      <c r="L40" s="516"/>
      <c r="M40" s="517"/>
    </row>
    <row r="41" spans="1:13">
      <c r="A41" s="342"/>
      <c r="B41" s="276" t="s">
        <v>108</v>
      </c>
      <c r="C41" s="277" t="s">
        <v>163</v>
      </c>
      <c r="D41" s="282">
        <f t="shared" si="8"/>
        <v>7.4977733817868895E-3</v>
      </c>
      <c r="E41" s="283">
        <f t="shared" si="8"/>
        <v>7.9403679468068918E-3</v>
      </c>
      <c r="F41" s="283">
        <f t="shared" si="8"/>
        <v>-7.993818726087405E-5</v>
      </c>
      <c r="G41" s="283">
        <f t="shared" si="8"/>
        <v>-3.0531745045273413E-4</v>
      </c>
      <c r="H41" s="283">
        <f t="shared" si="8"/>
        <v>7.9337237234227333E-3</v>
      </c>
      <c r="I41" s="194"/>
      <c r="J41" s="284">
        <f>AVERAGE(D70:INDEX(D70:H70,0,MATCH(Data!$B$3,$D$7:$H$7,0)))/AVERAGE($D$97:INDEX($D$97:$H$97,0,MATCH(Data!$B$3,$D$7:$H$7,0)))</f>
        <v>7.4977733817868895E-3</v>
      </c>
      <c r="K41" s="285">
        <f t="shared" si="9"/>
        <v>4.643139648686889E-3</v>
      </c>
      <c r="L41" s="504"/>
      <c r="M41" s="505"/>
    </row>
    <row r="42" spans="1:13">
      <c r="A42" s="342" t="s">
        <v>212</v>
      </c>
      <c r="B42" s="276" t="s">
        <v>109</v>
      </c>
      <c r="C42" s="277" t="s">
        <v>163</v>
      </c>
      <c r="D42" s="282">
        <f t="shared" si="8"/>
        <v>9.9605640503297585E-4</v>
      </c>
      <c r="E42" s="283">
        <f t="shared" si="8"/>
        <v>3.9626600304652944E-4</v>
      </c>
      <c r="F42" s="283">
        <f t="shared" si="8"/>
        <v>3.9800412028167208E-4</v>
      </c>
      <c r="G42" s="283">
        <f t="shared" si="8"/>
        <v>3.9190499477867729E-4</v>
      </c>
      <c r="H42" s="283">
        <f t="shared" si="8"/>
        <v>3.7704057895213009E-4</v>
      </c>
      <c r="I42" s="194"/>
      <c r="J42" s="284">
        <f>AVERAGE(D71:INDEX(D71:H71,0,MATCH(Data!$B$3,$D$7:$H$7,0)))/AVERAGE($D$97:INDEX($D$97:$H$97,0,MATCH(Data!$B$3,$D$7:$H$7,0)))</f>
        <v>9.9605640503297585E-4</v>
      </c>
      <c r="K42" s="285">
        <f t="shared" si="9"/>
        <v>5.1352935613441176E-4</v>
      </c>
      <c r="L42" s="504"/>
      <c r="M42" s="505"/>
    </row>
    <row r="43" spans="1:13">
      <c r="A43" s="342" t="s">
        <v>213</v>
      </c>
      <c r="B43" s="276" t="s">
        <v>110</v>
      </c>
      <c r="C43" s="277" t="s">
        <v>163</v>
      </c>
      <c r="D43" s="282">
        <f t="shared" si="8"/>
        <v>4.5361111874673925E-4</v>
      </c>
      <c r="E43" s="283">
        <f t="shared" si="8"/>
        <v>4.722521238123447E-4</v>
      </c>
      <c r="F43" s="283">
        <f t="shared" si="8"/>
        <v>5.0606503762779865E-4</v>
      </c>
      <c r="G43" s="283">
        <f t="shared" si="8"/>
        <v>5.1550583255721911E-4</v>
      </c>
      <c r="H43" s="283">
        <f t="shared" si="8"/>
        <v>5.1745782870035164E-4</v>
      </c>
      <c r="I43" s="194"/>
      <c r="J43" s="284">
        <f>AVERAGE(D72:INDEX(D72:H72,0,MATCH(Data!$B$3,$D$7:$H$7,0)))/AVERAGE($D$97:INDEX($D$97:$H$97,0,MATCH(Data!$B$3,$D$7:$H$7,0)))</f>
        <v>4.5361111874673925E-4</v>
      </c>
      <c r="K43" s="285">
        <f t="shared" si="9"/>
        <v>4.9300223854244489E-4</v>
      </c>
      <c r="L43" s="504"/>
      <c r="M43" s="505"/>
    </row>
    <row r="44" spans="1:13">
      <c r="A44" s="342" t="s">
        <v>214</v>
      </c>
      <c r="B44" s="276" t="s">
        <v>111</v>
      </c>
      <c r="C44" s="277" t="s">
        <v>163</v>
      </c>
      <c r="D44" s="282">
        <f t="shared" si="8"/>
        <v>3.8598850960163788E-4</v>
      </c>
      <c r="E44" s="283">
        <f t="shared" si="8"/>
        <v>1.3361490760592969E-3</v>
      </c>
      <c r="F44" s="283">
        <f t="shared" si="8"/>
        <v>1.489753352440872E-3</v>
      </c>
      <c r="G44" s="283">
        <f t="shared" si="8"/>
        <v>1.6233001783212359E-3</v>
      </c>
      <c r="H44" s="283">
        <f t="shared" si="8"/>
        <v>1.6955003142179773E-3</v>
      </c>
      <c r="I44" s="194"/>
      <c r="J44" s="284">
        <f>AVERAGE(D73:INDEX(D73:H73,0,MATCH(Data!$B$3,$D$7:$H$7,0)))/AVERAGE($D$97:INDEX($D$97:$H$97,0,MATCH(Data!$B$3,$D$7:$H$7,0)))</f>
        <v>3.8598850960163788E-4</v>
      </c>
      <c r="K44" s="285">
        <f t="shared" si="9"/>
        <v>1.3045121329442683E-3</v>
      </c>
      <c r="L44" s="504"/>
      <c r="M44" s="505"/>
    </row>
    <row r="45" spans="1:13">
      <c r="A45" s="342" t="s">
        <v>215</v>
      </c>
      <c r="B45" s="276" t="s">
        <v>112</v>
      </c>
      <c r="C45" s="277" t="s">
        <v>163</v>
      </c>
      <c r="D45" s="282">
        <f t="shared" si="8"/>
        <v>-2.2476236125661205E-3</v>
      </c>
      <c r="E45" s="283">
        <f t="shared" si="8"/>
        <v>-2.0936028102025353E-6</v>
      </c>
      <c r="F45" s="283">
        <f t="shared" si="8"/>
        <v>6.5605401733084638E-4</v>
      </c>
      <c r="G45" s="283">
        <f t="shared" si="8"/>
        <v>1.0118295894024204E-3</v>
      </c>
      <c r="H45" s="283">
        <f t="shared" si="8"/>
        <v>1.2051050101621434E-3</v>
      </c>
      <c r="I45" s="194"/>
      <c r="J45" s="284">
        <f>AVERAGE(D74:INDEX(D74:H74,0,MATCH(Data!$B$3,$D$7:$H$7,0)))/AVERAGE($D$97:INDEX($D$97:$H$97,0,MATCH(Data!$B$3,$D$7:$H$7,0)))</f>
        <v>-2.2476236125661205E-3</v>
      </c>
      <c r="K45" s="285">
        <f t="shared" si="9"/>
        <v>1.2133129729199154E-4</v>
      </c>
      <c r="L45" s="504"/>
      <c r="M45" s="505"/>
    </row>
    <row r="46" spans="1:13">
      <c r="A46" s="342" t="s">
        <v>216</v>
      </c>
      <c r="B46" s="276" t="s">
        <v>113</v>
      </c>
      <c r="C46" s="277" t="s">
        <v>163</v>
      </c>
      <c r="D46" s="282">
        <f t="shared" si="8"/>
        <v>-5.5436478978605452E-5</v>
      </c>
      <c r="E46" s="283">
        <f t="shared" si="8"/>
        <v>0</v>
      </c>
      <c r="F46" s="283">
        <f t="shared" si="8"/>
        <v>0</v>
      </c>
      <c r="G46" s="283">
        <f t="shared" si="8"/>
        <v>0</v>
      </c>
      <c r="H46" s="283">
        <f t="shared" si="8"/>
        <v>0</v>
      </c>
      <c r="I46" s="194"/>
      <c r="J46" s="284">
        <f>AVERAGE(D75:INDEX(D75:H75,0,MATCH(Data!$B$3,$D$7:$H$7,0)))/AVERAGE($D$97:INDEX($D$97:$H$97,0,MATCH(Data!$B$3,$D$7:$H$7,0)))</f>
        <v>-5.5436478978605452E-5</v>
      </c>
      <c r="K46" s="285">
        <f t="shared" si="9"/>
        <v>-1.1253677639524299E-5</v>
      </c>
      <c r="L46" s="504"/>
      <c r="M46" s="505"/>
    </row>
    <row r="47" spans="1:13">
      <c r="A47" s="342" t="s">
        <v>217</v>
      </c>
      <c r="B47" s="276" t="s">
        <v>114</v>
      </c>
      <c r="C47" s="277" t="s">
        <v>163</v>
      </c>
      <c r="D47" s="282">
        <f t="shared" si="8"/>
        <v>0</v>
      </c>
      <c r="E47" s="283">
        <f t="shared" si="8"/>
        <v>1.2348942533603594E-3</v>
      </c>
      <c r="F47" s="283">
        <f t="shared" si="8"/>
        <v>0</v>
      </c>
      <c r="G47" s="283">
        <f t="shared" si="8"/>
        <v>0</v>
      </c>
      <c r="H47" s="283">
        <f t="shared" si="8"/>
        <v>1.9896997201780987E-3</v>
      </c>
      <c r="I47" s="194"/>
      <c r="J47" s="284">
        <f>AVERAGE(D76:INDEX(D76:H76,0,MATCH(Data!$B$3,$D$7:$H$7,0)))/AVERAGE($D$97:INDEX($D$97:$H$97,0,MATCH(Data!$B$3,$D$7:$H$7,0)))</f>
        <v>0</v>
      </c>
      <c r="K47" s="285">
        <f t="shared" si="9"/>
        <v>6.532823396929536E-4</v>
      </c>
      <c r="L47" s="504"/>
      <c r="M47" s="505"/>
    </row>
    <row r="48" spans="1:13">
      <c r="A48" s="342" t="s">
        <v>218</v>
      </c>
      <c r="B48" s="276" t="s">
        <v>115</v>
      </c>
      <c r="C48" s="277" t="s">
        <v>163</v>
      </c>
      <c r="D48" s="282">
        <f t="shared" si="8"/>
        <v>1.3905321326309055E-3</v>
      </c>
      <c r="E48" s="283">
        <f t="shared" si="8"/>
        <v>1.0786720679448864E-3</v>
      </c>
      <c r="F48" s="283">
        <f t="shared" si="8"/>
        <v>1.1311404867390435E-3</v>
      </c>
      <c r="G48" s="283">
        <f t="shared" si="8"/>
        <v>1.1477575217585829E-3</v>
      </c>
      <c r="H48" s="283">
        <f t="shared" si="8"/>
        <v>1.1439629183244984E-3</v>
      </c>
      <c r="I48" s="194"/>
      <c r="J48" s="284">
        <f>AVERAGE(D77:INDEX(D77:H77,0,MATCH(Data!$B$3,$D$7:$H$7,0)))/AVERAGE($D$97:INDEX($D$97:$H$97,0,MATCH(Data!$B$3,$D$7:$H$7,0)))</f>
        <v>1.3905321326309055E-3</v>
      </c>
      <c r="K48" s="285">
        <f t="shared" si="9"/>
        <v>1.1794388615069915E-3</v>
      </c>
      <c r="L48" s="504"/>
      <c r="M48" s="505"/>
    </row>
    <row r="49" spans="1:13">
      <c r="A49" s="342" t="s">
        <v>219</v>
      </c>
      <c r="B49" s="276" t="s">
        <v>116</v>
      </c>
      <c r="C49" s="277" t="s">
        <v>163</v>
      </c>
      <c r="D49" s="282">
        <f t="shared" si="8"/>
        <v>2.9539415586747229E-5</v>
      </c>
      <c r="E49" s="283">
        <f t="shared" si="8"/>
        <v>4.5739503572323831E-5</v>
      </c>
      <c r="F49" s="283">
        <f t="shared" si="8"/>
        <v>5.35968159394011E-5</v>
      </c>
      <c r="G49" s="283">
        <f t="shared" si="8"/>
        <v>6.0314838251335124E-5</v>
      </c>
      <c r="H49" s="283">
        <f t="shared" si="8"/>
        <v>5.8027179639622119E-5</v>
      </c>
      <c r="I49" s="194"/>
      <c r="J49" s="284">
        <f>AVERAGE(D78:INDEX(D78:H78,0,MATCH(Data!$B$3,$D$7:$H$7,0)))/AVERAGE($D$97:INDEX($D$97:$H$97,0,MATCH(Data!$B$3,$D$7:$H$7,0)))</f>
        <v>2.9539415586747229E-5</v>
      </c>
      <c r="K49" s="285">
        <f t="shared" si="9"/>
        <v>4.9418599047353159E-5</v>
      </c>
      <c r="L49" s="504"/>
      <c r="M49" s="505"/>
    </row>
    <row r="50" spans="1:13">
      <c r="A50" s="342" t="s">
        <v>220</v>
      </c>
      <c r="B50" s="276" t="s">
        <v>117</v>
      </c>
      <c r="C50" s="277" t="s">
        <v>163</v>
      </c>
      <c r="D50" s="282">
        <f t="shared" ref="D50:H59" si="10">D79/D$97</f>
        <v>1.1436370398608509E-4</v>
      </c>
      <c r="E50" s="283">
        <f t="shared" si="10"/>
        <v>1.0633656697851482E-4</v>
      </c>
      <c r="F50" s="283">
        <f t="shared" si="10"/>
        <v>1.1871772860046654E-4</v>
      </c>
      <c r="G50" s="283">
        <f t="shared" si="10"/>
        <v>1.1689846520778537E-4</v>
      </c>
      <c r="H50" s="283">
        <f t="shared" si="10"/>
        <v>1.2375184229266353E-4</v>
      </c>
      <c r="I50" s="194"/>
      <c r="J50" s="284">
        <f>AVERAGE(D79:INDEX(D79:H79,0,MATCH(Data!$B$3,$D$7:$H$7,0)))/AVERAGE($D$97:INDEX($D$97:$H$97,0,MATCH(Data!$B$3,$D$7:$H$7,0)))</f>
        <v>1.1436370398608509E-4</v>
      </c>
      <c r="K50" s="285">
        <f t="shared" si="9"/>
        <v>1.1607990641127091E-4</v>
      </c>
      <c r="L50" s="504"/>
      <c r="M50" s="505"/>
    </row>
    <row r="51" spans="1:13">
      <c r="A51" s="342" t="s">
        <v>221</v>
      </c>
      <c r="B51" s="276" t="s">
        <v>118</v>
      </c>
      <c r="C51" s="277" t="s">
        <v>163</v>
      </c>
      <c r="D51" s="282">
        <f t="shared" si="10"/>
        <v>-4.6772460669239868E-5</v>
      </c>
      <c r="E51" s="283">
        <f t="shared" si="10"/>
        <v>-1.1818328222310017E-4</v>
      </c>
      <c r="F51" s="283">
        <f t="shared" si="10"/>
        <v>-1.5610837404807153E-4</v>
      </c>
      <c r="G51" s="283">
        <f t="shared" si="10"/>
        <v>-6.588147736200282E-5</v>
      </c>
      <c r="H51" s="283">
        <f t="shared" si="10"/>
        <v>-6.1496648580674243E-5</v>
      </c>
      <c r="I51" s="194"/>
      <c r="J51" s="284">
        <f>AVERAGE(D80:INDEX(D80:H80,0,MATCH(Data!$B$3,$D$7:$H$7,0)))/AVERAGE($D$97:INDEX($D$97:$H$97,0,MATCH(Data!$B$3,$D$7:$H$7,0)))</f>
        <v>-4.6772460669239868E-5</v>
      </c>
      <c r="K51" s="285">
        <f t="shared" si="9"/>
        <v>-8.9014391240054987E-5</v>
      </c>
      <c r="L51" s="504"/>
      <c r="M51" s="505"/>
    </row>
    <row r="52" spans="1:13">
      <c r="A52" s="342" t="s">
        <v>222</v>
      </c>
      <c r="B52" s="276" t="s">
        <v>119</v>
      </c>
      <c r="C52" s="277" t="s">
        <v>163</v>
      </c>
      <c r="D52" s="282">
        <f t="shared" si="10"/>
        <v>-5.2054519369437133E-5</v>
      </c>
      <c r="E52" s="283">
        <f t="shared" si="10"/>
        <v>0</v>
      </c>
      <c r="F52" s="283">
        <f t="shared" si="10"/>
        <v>0</v>
      </c>
      <c r="G52" s="283">
        <f t="shared" si="10"/>
        <v>0</v>
      </c>
      <c r="H52" s="283">
        <f t="shared" si="10"/>
        <v>0</v>
      </c>
      <c r="I52" s="194"/>
      <c r="J52" s="284">
        <f>AVERAGE(D81:INDEX(D81:H81,0,MATCH(Data!$B$3,$D$7:$H$7,0)))/AVERAGE($D$97:INDEX($D$97:$H$97,0,MATCH(Data!$B$3,$D$7:$H$7,0)))</f>
        <v>-5.2054519369437133E-5</v>
      </c>
      <c r="K52" s="285">
        <f t="shared" si="9"/>
        <v>-1.0567135421607463E-5</v>
      </c>
      <c r="L52" s="504"/>
      <c r="M52" s="505"/>
    </row>
    <row r="53" spans="1:13">
      <c r="A53" s="342" t="s">
        <v>223</v>
      </c>
      <c r="B53" s="276" t="s">
        <v>120</v>
      </c>
      <c r="C53" s="277" t="s">
        <v>163</v>
      </c>
      <c r="D53" s="282">
        <f t="shared" si="10"/>
        <v>-4.7218733492055391E-5</v>
      </c>
      <c r="E53" s="283">
        <f t="shared" si="10"/>
        <v>-2.7074431235124038E-5</v>
      </c>
      <c r="F53" s="283">
        <f t="shared" si="10"/>
        <v>-3.522092488132641E-5</v>
      </c>
      <c r="G53" s="283">
        <f t="shared" si="10"/>
        <v>-2.7783085340750988E-5</v>
      </c>
      <c r="H53" s="283">
        <f t="shared" si="10"/>
        <v>-2.4316447200550078E-5</v>
      </c>
      <c r="I53" s="194"/>
      <c r="J53" s="284">
        <f>AVERAGE(D82:INDEX(D82:H82,0,MATCH(Data!$B$3,$D$7:$H$7,0)))/AVERAGE($D$97:INDEX($D$97:$H$97,0,MATCH(Data!$B$3,$D$7:$H$7,0)))</f>
        <v>-4.7218733492055391E-5</v>
      </c>
      <c r="K53" s="285">
        <f t="shared" si="9"/>
        <v>-3.2328257980692906E-5</v>
      </c>
      <c r="L53" s="504"/>
      <c r="M53" s="505"/>
    </row>
    <row r="54" spans="1:13">
      <c r="A54" s="342" t="s">
        <v>224</v>
      </c>
      <c r="B54" s="276"/>
      <c r="C54" s="277" t="s">
        <v>163</v>
      </c>
      <c r="D54" s="282">
        <f t="shared" si="10"/>
        <v>0</v>
      </c>
      <c r="E54" s="283">
        <f t="shared" si="10"/>
        <v>0</v>
      </c>
      <c r="F54" s="283">
        <f t="shared" si="10"/>
        <v>0</v>
      </c>
      <c r="G54" s="283">
        <f t="shared" si="10"/>
        <v>0</v>
      </c>
      <c r="H54" s="283">
        <f t="shared" si="10"/>
        <v>0</v>
      </c>
      <c r="I54" s="194"/>
      <c r="J54" s="284">
        <f>AVERAGE(D83:INDEX(D83:H83,0,MATCH(Data!$B$3,$D$7:$H$7,0)))/AVERAGE($D$97:INDEX($D$97:$H$97,0,MATCH(Data!$B$3,$D$7:$H$7,0)))</f>
        <v>0</v>
      </c>
      <c r="K54" s="285">
        <f t="shared" si="9"/>
        <v>0</v>
      </c>
      <c r="L54" s="504"/>
      <c r="M54" s="505"/>
    </row>
    <row r="55" spans="1:13">
      <c r="A55" s="342" t="s">
        <v>225</v>
      </c>
      <c r="B55" s="276"/>
      <c r="C55" s="277" t="s">
        <v>163</v>
      </c>
      <c r="D55" s="282">
        <f t="shared" si="10"/>
        <v>0</v>
      </c>
      <c r="E55" s="283">
        <f t="shared" si="10"/>
        <v>0</v>
      </c>
      <c r="F55" s="283">
        <f t="shared" si="10"/>
        <v>0</v>
      </c>
      <c r="G55" s="283">
        <f t="shared" si="10"/>
        <v>0</v>
      </c>
      <c r="H55" s="283">
        <f t="shared" si="10"/>
        <v>0</v>
      </c>
      <c r="I55" s="194"/>
      <c r="J55" s="284">
        <f>AVERAGE(D84:INDEX(D84:H84,0,MATCH(Data!$B$3,$D$7:$H$7,0)))/AVERAGE($D$97:INDEX($D$97:$H$97,0,MATCH(Data!$B$3,$D$7:$H$7,0)))</f>
        <v>0</v>
      </c>
      <c r="K55" s="285">
        <f t="shared" si="9"/>
        <v>0</v>
      </c>
      <c r="L55" s="504"/>
      <c r="M55" s="505"/>
    </row>
    <row r="56" spans="1:13">
      <c r="A56" s="342" t="s">
        <v>226</v>
      </c>
      <c r="B56" s="276"/>
      <c r="C56" s="277" t="s">
        <v>163</v>
      </c>
      <c r="D56" s="282">
        <f t="shared" si="10"/>
        <v>0</v>
      </c>
      <c r="E56" s="283">
        <f t="shared" si="10"/>
        <v>0</v>
      </c>
      <c r="F56" s="283">
        <f t="shared" si="10"/>
        <v>0</v>
      </c>
      <c r="G56" s="283">
        <f t="shared" si="10"/>
        <v>0</v>
      </c>
      <c r="H56" s="283">
        <f t="shared" si="10"/>
        <v>0</v>
      </c>
      <c r="I56" s="194"/>
      <c r="J56" s="284">
        <f>AVERAGE(D85:INDEX(D85:H85,0,MATCH(Data!$B$3,$D$7:$H$7,0)))/AVERAGE($D$97:INDEX($D$97:$H$97,0,MATCH(Data!$B$3,$D$7:$H$7,0)))</f>
        <v>0</v>
      </c>
      <c r="K56" s="285">
        <f t="shared" si="9"/>
        <v>0</v>
      </c>
      <c r="L56" s="504"/>
      <c r="M56" s="505"/>
    </row>
    <row r="57" spans="1:13">
      <c r="A57" s="342"/>
      <c r="B57" s="276"/>
      <c r="C57" s="277" t="s">
        <v>163</v>
      </c>
      <c r="D57" s="282">
        <f t="shared" si="10"/>
        <v>0</v>
      </c>
      <c r="E57" s="283">
        <f t="shared" si="10"/>
        <v>0</v>
      </c>
      <c r="F57" s="283">
        <f t="shared" si="10"/>
        <v>0</v>
      </c>
      <c r="G57" s="283">
        <f t="shared" si="10"/>
        <v>0</v>
      </c>
      <c r="H57" s="283">
        <f t="shared" si="10"/>
        <v>0</v>
      </c>
      <c r="I57" s="194"/>
      <c r="J57" s="284">
        <f>AVERAGE(D86:INDEX(D86:H86,0,MATCH(Data!$B$3,$D$7:$H$7,0)))/AVERAGE($D$97:INDEX($D$97:$H$97,0,MATCH(Data!$B$3,$D$7:$H$7,0)))</f>
        <v>0</v>
      </c>
      <c r="K57" s="285">
        <f t="shared" si="9"/>
        <v>0</v>
      </c>
      <c r="L57" s="268"/>
      <c r="M57" s="256"/>
    </row>
    <row r="58" spans="1:13">
      <c r="A58" s="342"/>
      <c r="B58" s="276"/>
      <c r="C58" s="277" t="s">
        <v>163</v>
      </c>
      <c r="D58" s="282">
        <f t="shared" si="10"/>
        <v>0</v>
      </c>
      <c r="E58" s="283">
        <f t="shared" si="10"/>
        <v>0</v>
      </c>
      <c r="F58" s="283">
        <f t="shared" si="10"/>
        <v>0</v>
      </c>
      <c r="G58" s="283">
        <f t="shared" si="10"/>
        <v>0</v>
      </c>
      <c r="H58" s="283">
        <f t="shared" si="10"/>
        <v>0</v>
      </c>
      <c r="I58" s="194"/>
      <c r="J58" s="284">
        <f>AVERAGE(D87:INDEX(D87:H87,0,MATCH(Data!$B$3,$D$7:$H$7,0)))/AVERAGE($D$97:INDEX($D$97:$H$97,0,MATCH(Data!$B$3,$D$7:$H$7,0)))</f>
        <v>0</v>
      </c>
      <c r="K58" s="285">
        <f t="shared" si="9"/>
        <v>0</v>
      </c>
      <c r="L58" s="268"/>
      <c r="M58" s="256"/>
    </row>
    <row r="59" spans="1:13">
      <c r="A59" s="342"/>
      <c r="B59" s="276" t="s">
        <v>121</v>
      </c>
      <c r="C59" s="277" t="s">
        <v>163</v>
      </c>
      <c r="D59" s="282">
        <f t="shared" si="10"/>
        <v>-3.615533649628563E-4</v>
      </c>
      <c r="E59" s="283">
        <f t="shared" si="10"/>
        <v>-7.4665421720181269E-5</v>
      </c>
      <c r="F59" s="283">
        <f t="shared" si="10"/>
        <v>-7.3839781943240351E-5</v>
      </c>
      <c r="G59" s="283">
        <f t="shared" si="10"/>
        <v>-4.3749172108439572E-5</v>
      </c>
      <c r="H59" s="283">
        <f t="shared" si="10"/>
        <v>-4.1908928696724353E-5</v>
      </c>
      <c r="I59" s="194"/>
      <c r="J59" s="284">
        <f>AVERAGE(D88:INDEX(D88:H88,0,MATCH(Data!$B$3,$D$7:$H$7,0)))/AVERAGE($D$97:INDEX($D$97:$H$97,0,MATCH(Data!$B$3,$D$7:$H$7,0)))</f>
        <v>-3.615533649628563E-4</v>
      </c>
      <c r="K59" s="285">
        <f t="shared" si="9"/>
        <v>-1.1984074335294627E-4</v>
      </c>
      <c r="L59" s="268"/>
      <c r="M59" s="256"/>
    </row>
    <row r="60" spans="1:13">
      <c r="A60" s="342"/>
      <c r="B60" s="279" t="s">
        <v>122</v>
      </c>
      <c r="C60" s="277" t="s">
        <v>163</v>
      </c>
      <c r="D60" s="286">
        <f>SUM(D40:D59)</f>
        <v>5.3384036929194946E-2</v>
      </c>
      <c r="E60" s="286">
        <f t="shared" ref="E60:H60" si="11">SUM(E40:E59)</f>
        <v>6.3586481298233383E-2</v>
      </c>
      <c r="F60" s="286">
        <f t="shared" si="11"/>
        <v>5.7149340163035363E-2</v>
      </c>
      <c r="G60" s="286">
        <f t="shared" si="11"/>
        <v>5.9284020194914563E-2</v>
      </c>
      <c r="H60" s="286">
        <f t="shared" si="11"/>
        <v>6.9917458341284947E-2</v>
      </c>
      <c r="I60" s="287"/>
      <c r="J60" s="286">
        <f>SUM(J40:J59)</f>
        <v>5.3384036929194946E-2</v>
      </c>
      <c r="K60" s="286">
        <f>SUM(K40:K59)</f>
        <v>6.0708980430907604E-2</v>
      </c>
      <c r="L60" s="268"/>
      <c r="M60" s="256"/>
    </row>
    <row r="61" spans="1:13">
      <c r="A61" s="342"/>
      <c r="B61" s="276" t="s">
        <v>173</v>
      </c>
      <c r="C61" s="277" t="s">
        <v>163</v>
      </c>
      <c r="D61" s="282">
        <f>(D90+D91)/D$97</f>
        <v>6.6960000783762338E-2</v>
      </c>
      <c r="E61" s="282">
        <f t="shared" ref="E61:H61" si="12">(E90+E91)/E$97</f>
        <v>1.332233013366068E-2</v>
      </c>
      <c r="F61" s="282">
        <f t="shared" si="12"/>
        <v>4.9603666336930918E-4</v>
      </c>
      <c r="G61" s="282">
        <f t="shared" si="12"/>
        <v>-1.5008236071702245E-4</v>
      </c>
      <c r="H61" s="282">
        <f t="shared" si="12"/>
        <v>4.8980169764667363E-3</v>
      </c>
      <c r="I61" s="194"/>
      <c r="J61" s="284">
        <f>(AVERAGE(D90:INDEX(D90:H90,0,MATCH(Data!$B$3,$D$7:$H$7,0)))+AVERAGE(D91:INDEX(D91:H91,0,MATCH(Data!$B$3,$D$7:$H$7,0))))/AVERAGE($D$97:INDEX($D$97:$H$97,0,MATCH(Data!$B$3,$D$7:$H$7,0)))</f>
        <v>6.6960000783762338E-2</v>
      </c>
      <c r="K61" s="285">
        <f>(AVERAGE(D90:H90)+AVERAGE(D91:H91))/AVERAGE($D$97:$H$97)</f>
        <v>1.7287948456558847E-2</v>
      </c>
      <c r="L61" s="504"/>
      <c r="M61" s="505"/>
    </row>
    <row r="62" spans="1:13">
      <c r="A62" s="342"/>
      <c r="B62" s="276" t="s">
        <v>174</v>
      </c>
      <c r="C62" s="281" t="s">
        <v>163</v>
      </c>
      <c r="D62" s="282">
        <f>(D92+D93)/D$97</f>
        <v>-1.9218714256897479E-3</v>
      </c>
      <c r="E62" s="282">
        <f t="shared" ref="E62:H62" si="13">(E92+E93)/E$97</f>
        <v>2.0039185015476484E-3</v>
      </c>
      <c r="F62" s="282">
        <f t="shared" si="13"/>
        <v>-9.7543840790388745E-4</v>
      </c>
      <c r="G62" s="282">
        <f t="shared" si="13"/>
        <v>1.9571818949035481E-3</v>
      </c>
      <c r="H62" s="282">
        <f t="shared" si="13"/>
        <v>1.6160113986738787E-3</v>
      </c>
      <c r="I62" s="194"/>
      <c r="J62" s="284">
        <f>(AVERAGE(D92:INDEX(D92:H92,0,MATCH(Data!$B$3,$D$7:$H$7,0)))+AVERAGE(D93:INDEX(D93:H93,0,MATCH(Data!$B$3,$D$7:$H$7,0))))/AVERAGE($D$97:INDEX($D$97:$H$97,0,MATCH(Data!$B$3,$D$7:$H$7,0)))</f>
        <v>-1.9218714256897479E-3</v>
      </c>
      <c r="K62" s="285">
        <f>(AVERAGE(D92:H92)+AVERAGE(D93:H93))/AVERAGE($D$97:$H$97)</f>
        <v>5.3498928199215666E-4</v>
      </c>
      <c r="L62" s="514"/>
      <c r="M62" s="505"/>
    </row>
    <row r="63" spans="1:13">
      <c r="A63" s="342"/>
      <c r="B63" s="279" t="s">
        <v>125</v>
      </c>
      <c r="C63" s="277" t="s">
        <v>163</v>
      </c>
      <c r="D63" s="286">
        <f>SUM(D60:D62)</f>
        <v>0.11842216628726754</v>
      </c>
      <c r="E63" s="286">
        <f t="shared" ref="E63:H63" si="14">SUM(E60:E62)</f>
        <v>7.8912729933441714E-2</v>
      </c>
      <c r="F63" s="286">
        <f t="shared" si="14"/>
        <v>5.6669938418500786E-2</v>
      </c>
      <c r="G63" s="286">
        <f t="shared" si="14"/>
        <v>6.1091119729101091E-2</v>
      </c>
      <c r="H63" s="286">
        <f t="shared" si="14"/>
        <v>7.6431486716425551E-2</v>
      </c>
      <c r="I63" s="287"/>
      <c r="J63" s="286">
        <f>SUM(J60:J62)</f>
        <v>0.11842216628726754</v>
      </c>
      <c r="K63" s="286">
        <f>SUM(K60:K62)</f>
        <v>7.8531918169458606E-2</v>
      </c>
      <c r="L63" s="504"/>
      <c r="M63" s="505"/>
    </row>
    <row r="64" spans="1:13">
      <c r="A64" s="342"/>
      <c r="B64" s="288"/>
      <c r="C64" s="281"/>
      <c r="D64" s="289"/>
      <c r="E64" s="289"/>
      <c r="F64" s="289"/>
      <c r="G64" s="289"/>
      <c r="H64" s="289"/>
      <c r="I64" s="280"/>
      <c r="J64" s="280"/>
      <c r="K64" s="289"/>
      <c r="L64" s="505"/>
      <c r="M64" s="505"/>
    </row>
    <row r="65" spans="1:13">
      <c r="A65" s="342"/>
      <c r="B65" s="288"/>
      <c r="C65" s="281"/>
      <c r="D65" s="289"/>
      <c r="E65" s="289"/>
      <c r="F65" s="289"/>
      <c r="G65" s="289"/>
      <c r="H65" s="289"/>
      <c r="I65" s="511"/>
      <c r="J65" s="511"/>
      <c r="K65" s="289"/>
      <c r="L65" s="505"/>
      <c r="M65" s="505"/>
    </row>
    <row r="66" spans="1:13">
      <c r="A66" s="342"/>
      <c r="B66" s="290" t="s">
        <v>175</v>
      </c>
      <c r="C66" s="291"/>
      <c r="D66" s="292"/>
      <c r="E66" s="292"/>
      <c r="F66" s="292"/>
      <c r="G66" s="292"/>
      <c r="H66" s="292"/>
      <c r="I66" s="512"/>
      <c r="J66" s="512"/>
      <c r="K66" s="292"/>
      <c r="L66" s="513"/>
      <c r="M66" s="513"/>
    </row>
    <row r="67" spans="1:13">
      <c r="A67" s="342"/>
      <c r="B67" s="293" t="s">
        <v>227</v>
      </c>
      <c r="C67" s="294"/>
      <c r="D67" s="294"/>
      <c r="E67" s="294"/>
      <c r="F67" s="294"/>
      <c r="G67" s="294"/>
      <c r="H67" s="294"/>
      <c r="I67" s="510"/>
      <c r="J67" s="510"/>
      <c r="K67" s="294"/>
      <c r="L67" s="510"/>
      <c r="M67" s="510"/>
    </row>
    <row r="68" spans="1:13">
      <c r="A68" s="342"/>
      <c r="B68" s="265"/>
      <c r="C68" s="256"/>
      <c r="D68" s="256"/>
      <c r="E68" s="256"/>
      <c r="F68" s="256"/>
      <c r="G68" s="256"/>
      <c r="H68" s="256"/>
      <c r="I68" s="505"/>
      <c r="J68" s="505"/>
      <c r="K68" s="256"/>
      <c r="L68" s="505"/>
      <c r="M68" s="505"/>
    </row>
    <row r="69" spans="1:13">
      <c r="B69" s="295" t="s">
        <v>177</v>
      </c>
      <c r="C69" s="104" t="s">
        <v>228</v>
      </c>
      <c r="D69" s="149">
        <f>ENWL!D69+NGED!D65+NPg!D65+SPEN!D65+SSE!D65+UKPN!D69</f>
        <v>602.23758028240582</v>
      </c>
      <c r="E69" s="149">
        <f>ENWL!E69+NGED!E65+NPg!E65+SPEN!E65+SSE!E65+UKPN!E69</f>
        <v>658.16889339971726</v>
      </c>
      <c r="F69" s="149">
        <f>ENWL!F69+NGED!F65+NPg!F65+SPEN!F65+SSE!F65+UKPN!F69</f>
        <v>680.16737280723123</v>
      </c>
      <c r="G69" s="149">
        <f>ENWL!G69+NGED!G65+NPg!G65+SPEN!G65+SSE!G65+UKPN!G69</f>
        <v>713.085624955821</v>
      </c>
      <c r="H69" s="149">
        <f>ENWL!H69+NGED!H65+NPg!H65+SPEN!H65+SSE!H65+UKPN!H69</f>
        <v>743.11236023707215</v>
      </c>
      <c r="J69" s="296">
        <f>ENWL!J69+NGED!J65+NPg!J65+SPEN!J65+SSE!J65+UKPN!J69</f>
        <v>602.23758028240582</v>
      </c>
      <c r="K69" s="296">
        <f>ENWL!K69+NGED!K65+NPg!K65+SPEN!K65+SSE!K65+UKPN!K69</f>
        <v>3396.7718316822475</v>
      </c>
      <c r="L69" s="508"/>
      <c r="M69" s="507"/>
    </row>
    <row r="70" spans="1:13">
      <c r="B70" s="295" t="s">
        <v>108</v>
      </c>
      <c r="C70" s="104" t="s">
        <v>228</v>
      </c>
      <c r="D70" s="149">
        <f>ENWL!D70+NGED!D66+NPg!D66+SPEN!D66+SSE!D66+UKPN!D70</f>
        <v>99.619601818872326</v>
      </c>
      <c r="E70" s="149">
        <f>ENWL!E70+NGED!E66+NPg!E66+SPEN!E66+SSE!E66+UKPN!E70</f>
        <v>102.07667307407203</v>
      </c>
      <c r="F70" s="149">
        <f>ENWL!F70+NGED!F66+NPg!F66+SPEN!F66+SSE!F66+UKPN!F70</f>
        <v>-1.0231502655486349</v>
      </c>
      <c r="G70" s="149">
        <f>ENWL!G70+NGED!G66+NPg!G66+SPEN!G66+SSE!G66+UKPN!G70</f>
        <v>-3.9686566041590083</v>
      </c>
      <c r="H70" s="149">
        <f>ENWL!H70+NGED!H66+NPg!H66+SPEN!H66+SSE!H66+UKPN!H70</f>
        <v>107.19182696441538</v>
      </c>
      <c r="J70" s="296">
        <f>ENWL!J70+NGED!J66+NPg!J66+SPEN!J66+SSE!J66+UKPN!J70</f>
        <v>99.619601818872326</v>
      </c>
      <c r="K70" s="296">
        <f>ENWL!K70+NGED!K66+NPg!K66+SPEN!K66+SSE!K66+UKPN!K70</f>
        <v>303.89629498765208</v>
      </c>
      <c r="L70" s="508"/>
      <c r="M70" s="507"/>
    </row>
    <row r="71" spans="1:13">
      <c r="A71" s="314" t="s">
        <v>212</v>
      </c>
      <c r="B71" s="295" t="s">
        <v>109</v>
      </c>
      <c r="C71" s="104" t="s">
        <v>228</v>
      </c>
      <c r="D71" s="149">
        <f>ENWL!D71+NGED!D67+NPg!D67+SPEN!D67+SSE!D67+UKPN!D71</f>
        <v>13.234161317753042</v>
      </c>
      <c r="E71" s="149">
        <f>ENWL!E71+NGED!E67+NPg!E67+SPEN!E67+SSE!E67+UKPN!E71</f>
        <v>5.0941613177530423</v>
      </c>
      <c r="F71" s="149">
        <f>ENWL!F71+NGED!F67+NPg!F67+SPEN!F67+SSE!F67+UKPN!F71</f>
        <v>5.0941613177530423</v>
      </c>
      <c r="G71" s="149">
        <f>ENWL!G71+NGED!G67+NPg!G67+SPEN!G67+SSE!G67+UKPN!G71</f>
        <v>5.0941613177530423</v>
      </c>
      <c r="H71" s="149">
        <f>ENWL!H71+NGED!H67+NPg!H67+SPEN!H67+SSE!H67+UKPN!H71</f>
        <v>5.0941613177530423</v>
      </c>
      <c r="J71" s="296">
        <f>ENWL!J71+NGED!J67+NPg!J67+SPEN!J67+SSE!J67+UKPN!J71</f>
        <v>13.234161317753042</v>
      </c>
      <c r="K71" s="296">
        <f>ENWL!K71+NGED!K67+NPg!K67+SPEN!K67+SSE!K67+UKPN!K71</f>
        <v>33.610806588765215</v>
      </c>
      <c r="L71" s="508"/>
      <c r="M71" s="507"/>
    </row>
    <row r="72" spans="1:13">
      <c r="A72" s="343" t="s">
        <v>213</v>
      </c>
      <c r="B72" s="295" t="s">
        <v>110</v>
      </c>
      <c r="C72" s="298" t="s">
        <v>228</v>
      </c>
      <c r="D72" s="149">
        <f>ENWL!D72+NGED!D68+NPg!D68+SPEN!D68+SSE!D68+UKPN!D72</f>
        <v>6.0269304937826647</v>
      </c>
      <c r="E72" s="149">
        <f>ENWL!E72+NGED!E68+NPg!E68+SPEN!E68+SSE!E68+UKPN!E72</f>
        <v>6.0709939355284206</v>
      </c>
      <c r="F72" s="149">
        <f>ENWL!F72+NGED!F68+NPg!F68+SPEN!F68+SSE!F68+UKPN!F72</f>
        <v>6.4772619367013231</v>
      </c>
      <c r="G72" s="149">
        <f>ENWL!G72+NGED!G68+NPg!G68+SPEN!G68+SSE!G68+UKPN!G72</f>
        <v>6.7007818381393616</v>
      </c>
      <c r="H72" s="149">
        <f>ENWL!H72+NGED!H68+NPg!H68+SPEN!H68+SSE!H68+UKPN!H72</f>
        <v>6.9913261375202946</v>
      </c>
      <c r="J72" s="296">
        <f>ENWL!J72+NGED!J68+NPg!J68+SPEN!J68+SSE!J68+UKPN!J72</f>
        <v>6.0269304937826647</v>
      </c>
      <c r="K72" s="296">
        <f>ENWL!K72+NGED!K68+NPg!K68+SPEN!K68+SSE!K68+UKPN!K72</f>
        <v>32.267294341672063</v>
      </c>
      <c r="L72" s="508"/>
      <c r="M72" s="507"/>
    </row>
    <row r="73" spans="1:13">
      <c r="A73" s="343" t="s">
        <v>214</v>
      </c>
      <c r="B73" s="295" t="s">
        <v>111</v>
      </c>
      <c r="C73" s="298" t="s">
        <v>228</v>
      </c>
      <c r="D73" s="149">
        <f>ENWL!D73+NGED!D69+NPg!D69+SPEN!D69+SSE!D69+UKPN!D73</f>
        <v>5.1284587670494721</v>
      </c>
      <c r="E73" s="149">
        <f>ENWL!E73+NGED!E69+NPg!E69+SPEN!E69+SSE!E69+UKPN!E73</f>
        <v>17.17674210172785</v>
      </c>
      <c r="F73" s="149">
        <f>ENWL!F73+NGED!F69+NPg!F69+SPEN!F69+SSE!F69+UKPN!F73</f>
        <v>19.067752101727869</v>
      </c>
      <c r="G73" s="149">
        <f>ENWL!G73+NGED!G69+NPg!G69+SPEN!G69+SSE!G69+UKPN!G73</f>
        <v>21.100402101727877</v>
      </c>
      <c r="H73" s="149">
        <f>ENWL!H73+NGED!H69+NPg!H69+SPEN!H69+SSE!H69+UKPN!H73</f>
        <v>22.907752101727866</v>
      </c>
      <c r="J73" s="296">
        <f>ENWL!J73+NGED!J69+NPg!J69+SPEN!J69+SSE!J69+UKPN!J73</f>
        <v>5.1284587670494721</v>
      </c>
      <c r="K73" s="296">
        <f>ENWL!K73+NGED!K69+NPg!K69+SPEN!K69+SSE!K69+UKPN!K73</f>
        <v>85.381107173960928</v>
      </c>
      <c r="L73" s="508"/>
      <c r="M73" s="507"/>
    </row>
    <row r="74" spans="1:13">
      <c r="A74" s="343" t="s">
        <v>215</v>
      </c>
      <c r="B74" s="295" t="s">
        <v>112</v>
      </c>
      <c r="C74" s="298" t="s">
        <v>228</v>
      </c>
      <c r="D74" s="149">
        <f>ENWL!D74+NGED!D70+NPg!D70+SPEN!D70+SSE!D70+UKPN!D74</f>
        <v>-29.86318176359314</v>
      </c>
      <c r="E74" s="149">
        <f>ENWL!E74+NGED!E70+NPg!E70+SPEN!E70+SSE!E70+UKPN!E74</f>
        <v>-2.6914119224152877E-2</v>
      </c>
      <c r="F74" s="149">
        <f>ENWL!F74+NGED!F70+NPg!F70+SPEN!F70+SSE!F70+UKPN!F74</f>
        <v>8.3970110537500915</v>
      </c>
      <c r="G74" s="149">
        <f>ENWL!G74+NGED!G70+NPg!G70+SPEN!G70+SSE!G70+UKPN!G74</f>
        <v>13.152226236367923</v>
      </c>
      <c r="H74" s="149">
        <f>ENWL!H74+NGED!H70+NPg!H70+SPEN!H70+SSE!H70+UKPN!H74</f>
        <v>16.282065298276024</v>
      </c>
      <c r="J74" s="296">
        <f>ENWL!J74+NGED!J70+NPg!J70+SPEN!J70+SSE!J70+UKPN!J74</f>
        <v>-29.86318176359314</v>
      </c>
      <c r="K74" s="296">
        <f>ENWL!K74+NGED!K70+NPg!K70+SPEN!K70+SSE!K70+UKPN!K74</f>
        <v>7.9412067055767519</v>
      </c>
      <c r="L74" s="508"/>
      <c r="M74" s="507"/>
    </row>
    <row r="75" spans="1:13">
      <c r="A75" s="343" t="s">
        <v>216</v>
      </c>
      <c r="B75" s="295" t="s">
        <v>113</v>
      </c>
      <c r="C75" s="298" t="s">
        <v>228</v>
      </c>
      <c r="D75" s="149">
        <f>ENWL!D75+NGED!D71+NPg!D71+SPEN!D71+SSE!D71+UKPN!D75</f>
        <v>-0.73656000000000132</v>
      </c>
      <c r="E75" s="149">
        <f>ENWL!E75+NGED!E71+NPg!E71+SPEN!E71+SSE!E71+UKPN!E75</f>
        <v>0</v>
      </c>
      <c r="F75" s="149">
        <f>ENWL!F75+NGED!F71+NPg!F71+SPEN!F71+SSE!F71+UKPN!F75</f>
        <v>0</v>
      </c>
      <c r="G75" s="149">
        <f>ENWL!G75+NGED!G71+NPg!G71+SPEN!G71+SSE!G71+UKPN!G75</f>
        <v>0</v>
      </c>
      <c r="H75" s="149">
        <f>ENWL!H75+NGED!H71+NPg!H71+SPEN!H71+SSE!H71+UKPN!H75</f>
        <v>0</v>
      </c>
      <c r="J75" s="296">
        <f>ENWL!J75+NGED!J71+NPg!J71+SPEN!J71+SSE!J71+UKPN!J75</f>
        <v>-0.73656000000000132</v>
      </c>
      <c r="K75" s="296">
        <f>ENWL!K75+NGED!K71+NPg!K71+SPEN!K71+SSE!K71+UKPN!K75</f>
        <v>-0.73656000000000132</v>
      </c>
      <c r="L75" s="508"/>
      <c r="M75" s="507"/>
    </row>
    <row r="76" spans="1:13">
      <c r="A76" s="343" t="s">
        <v>217</v>
      </c>
      <c r="B76" s="295" t="s">
        <v>114</v>
      </c>
      <c r="C76" s="298" t="s">
        <v>228</v>
      </c>
      <c r="D76" s="149">
        <f>ENWL!D76+NGED!D72+NPg!D72+SPEN!D72+SSE!D72+UKPN!D76</f>
        <v>0</v>
      </c>
      <c r="E76" s="149">
        <f>ENWL!E76+NGED!E72+NPg!E72+SPEN!E72+SSE!E72+UKPN!E76</f>
        <v>15.875069999999999</v>
      </c>
      <c r="F76" s="149">
        <f>ENWL!F76+NGED!F72+NPg!F72+SPEN!F72+SSE!F72+UKPN!F76</f>
        <v>0</v>
      </c>
      <c r="G76" s="149">
        <f>ENWL!G76+NGED!G72+NPg!G72+SPEN!G72+SSE!G72+UKPN!G76</f>
        <v>0</v>
      </c>
      <c r="H76" s="149">
        <f>ENWL!H76+NGED!H72+NPg!H72+SPEN!H72+SSE!H72+UKPN!H76</f>
        <v>26.882653789268115</v>
      </c>
      <c r="J76" s="296">
        <f>ENWL!J76+NGED!J72+NPg!J72+SPEN!J72+SSE!J72+UKPN!J76</f>
        <v>0</v>
      </c>
      <c r="K76" s="296">
        <f>ENWL!K76+NGED!K72+NPg!K72+SPEN!K72+SSE!K72+UKPN!K76</f>
        <v>42.757723789268113</v>
      </c>
      <c r="L76" s="508"/>
      <c r="M76" s="507"/>
    </row>
    <row r="77" spans="1:13">
      <c r="A77" s="314" t="s">
        <v>218</v>
      </c>
      <c r="B77" s="295" t="s">
        <v>115</v>
      </c>
      <c r="C77" s="104" t="s">
        <v>228</v>
      </c>
      <c r="D77" s="149">
        <f>ENWL!D77+NGED!D73+NPg!D73+SPEN!D73+SSE!D73+UKPN!D77</f>
        <v>18.475386</v>
      </c>
      <c r="E77" s="149">
        <f>ENWL!E77+NGED!E73+NPg!E73+SPEN!E73+SSE!E73+UKPN!E77</f>
        <v>13.866769999999997</v>
      </c>
      <c r="F77" s="149">
        <f>ENWL!F77+NGED!F73+NPg!F73+SPEN!F73+SSE!F73+UKPN!F77</f>
        <v>14.47777</v>
      </c>
      <c r="G77" s="149">
        <f>ENWL!G77+NGED!G73+NPg!G73+SPEN!G73+SSE!G73+UKPN!G77</f>
        <v>14.919079999999999</v>
      </c>
      <c r="H77" s="149">
        <f>ENWL!H77+NGED!H73+NPg!H73+SPEN!H73+SSE!H73+UKPN!H77</f>
        <v>15.455979999999997</v>
      </c>
      <c r="J77" s="296">
        <f>ENWL!J77+NGED!J73+NPg!J73+SPEN!J73+SSE!J73+UKPN!J77</f>
        <v>18.475386</v>
      </c>
      <c r="K77" s="296">
        <f>ENWL!K77+NGED!K73+NPg!K73+SPEN!K73+SSE!K73+UKPN!K77</f>
        <v>77.194986</v>
      </c>
      <c r="L77" s="508"/>
      <c r="M77" s="507"/>
    </row>
    <row r="78" spans="1:13">
      <c r="A78" s="314" t="s">
        <v>219</v>
      </c>
      <c r="B78" s="295" t="s">
        <v>116</v>
      </c>
      <c r="C78" s="104" t="s">
        <v>228</v>
      </c>
      <c r="D78" s="149">
        <f>ENWL!D78</f>
        <v>0.39247716206816541</v>
      </c>
      <c r="E78" s="149">
        <f>ENWL!E78</f>
        <v>0.58799999999999963</v>
      </c>
      <c r="F78" s="149">
        <f>ENWL!F78</f>
        <v>0.68599999999999928</v>
      </c>
      <c r="G78" s="149">
        <f>ENWL!G78</f>
        <v>0.78399999999999981</v>
      </c>
      <c r="H78" s="149">
        <f>ENWL!H78</f>
        <v>0.78399999999999981</v>
      </c>
      <c r="J78" s="296">
        <f>ENWL!J78</f>
        <v>0.39247716206816541</v>
      </c>
      <c r="K78" s="296">
        <f>ENWL!K78</f>
        <v>3.2344771620681638</v>
      </c>
      <c r="L78" s="508"/>
      <c r="M78" s="507"/>
    </row>
    <row r="79" spans="1:13">
      <c r="A79" s="314" t="s">
        <v>220</v>
      </c>
      <c r="B79" s="295" t="s">
        <v>117</v>
      </c>
      <c r="C79" s="104" t="s">
        <v>228</v>
      </c>
      <c r="D79" s="149">
        <f>UKPN!D79</f>
        <v>1.5194999999999999</v>
      </c>
      <c r="E79" s="149">
        <f>UKPN!E79</f>
        <v>1.367</v>
      </c>
      <c r="F79" s="149">
        <f>UKPN!F79</f>
        <v>1.5194999999999999</v>
      </c>
      <c r="G79" s="149">
        <f>UKPN!G79</f>
        <v>1.5194999999999999</v>
      </c>
      <c r="H79" s="149">
        <f>UKPN!H79</f>
        <v>1.6719999999999999</v>
      </c>
      <c r="J79" s="296">
        <f>UKPN!J79</f>
        <v>1.5194999999999999</v>
      </c>
      <c r="K79" s="296">
        <f>UKPN!K79</f>
        <v>7.5975000000000001</v>
      </c>
      <c r="L79" s="508"/>
      <c r="M79" s="507"/>
    </row>
    <row r="80" spans="1:13">
      <c r="A80" s="314" t="s">
        <v>221</v>
      </c>
      <c r="B80" s="295" t="s">
        <v>118</v>
      </c>
      <c r="C80" s="104" t="s">
        <v>228</v>
      </c>
      <c r="D80" s="149">
        <f>ENWL!D80+NGED!D74+NPg!D74+SPEN!D74+SSE!D74+UKPN!D80</f>
        <v>-0.62144501716696177</v>
      </c>
      <c r="E80" s="149">
        <f>ENWL!E80+NGED!E74+NPg!E74+SPEN!E74+SSE!E74+UKPN!E80</f>
        <v>-1.519294363072867</v>
      </c>
      <c r="F80" s="149">
        <f>ENWL!F80+NGED!F74+NPg!F74+SPEN!F74+SSE!F74+UKPN!F80</f>
        <v>-1.9980728839947879</v>
      </c>
      <c r="G80" s="149">
        <f>ENWL!G80+NGED!G74+NPg!G74+SPEN!G74+SSE!G74+UKPN!G80</f>
        <v>-0.85635773466849763</v>
      </c>
      <c r="H80" s="149">
        <f>ENWL!H80+NGED!H74+NPg!H74+SPEN!H74+SSE!H74+UKPN!H80</f>
        <v>-0.83087568251081334</v>
      </c>
      <c r="J80" s="296">
        <f>ENWL!J80+NGED!J74+NPg!J74+SPEN!J74+SSE!J74+UKPN!J80</f>
        <v>-0.62144501716696177</v>
      </c>
      <c r="K80" s="296">
        <f>ENWL!K80+NGED!K74+NPg!K74+SPEN!K74+SSE!K74+UKPN!K80</f>
        <v>-5.8260456814139276</v>
      </c>
      <c r="L80" s="508"/>
      <c r="M80" s="507"/>
    </row>
    <row r="81" spans="1:13">
      <c r="A81" s="314" t="s">
        <v>222</v>
      </c>
      <c r="B81" s="295" t="s">
        <v>119</v>
      </c>
      <c r="C81" s="104" t="s">
        <v>228</v>
      </c>
      <c r="D81" s="149">
        <f>ENWL!D81+NGED!D75+NPg!D75+SPEN!D75+SSE!D75+UKPN!D81</f>
        <v>-0.69162539708825477</v>
      </c>
      <c r="E81" s="149">
        <f>ENWL!E81+NGED!E75+NPg!E75+SPEN!E75+SSE!E75+UKPN!E81</f>
        <v>0</v>
      </c>
      <c r="F81" s="149">
        <f>ENWL!F81+NGED!F75+NPg!F75+SPEN!F75+SSE!F75+UKPN!F81</f>
        <v>0</v>
      </c>
      <c r="G81" s="149">
        <f>ENWL!G81+NGED!G75+NPg!G75+SPEN!G75+SSE!G75+UKPN!G81</f>
        <v>0</v>
      </c>
      <c r="H81" s="149">
        <f>ENWL!H81+NGED!H75+NPg!H75+SPEN!H75+SSE!H75+UKPN!H81</f>
        <v>0</v>
      </c>
      <c r="J81" s="299">
        <f>ENWL!J81+NGED!J75+NPg!J75+SPEN!J75+SSE!J75+UKPN!J81</f>
        <v>-0.69162539708825477</v>
      </c>
      <c r="K81" s="149">
        <f>ENWL!K81+NGED!K75+NPg!K75+SPEN!K75+SSE!K75+UKPN!K81</f>
        <v>-0.69162539708825477</v>
      </c>
      <c r="L81" s="508"/>
      <c r="M81" s="507"/>
    </row>
    <row r="82" spans="1:13">
      <c r="A82" s="314" t="s">
        <v>223</v>
      </c>
      <c r="B82" s="295" t="s">
        <v>120</v>
      </c>
      <c r="C82" s="104" t="s">
        <v>228</v>
      </c>
      <c r="D82" s="149">
        <f>ENWL!D82+NGED!D76+NPg!D76+SPEN!D76+SSE!D76+UKPN!D82</f>
        <v>-0.62737444696534161</v>
      </c>
      <c r="E82" s="149">
        <f>ENWL!E82+NGED!E76+NPg!E76+SPEN!E76+SSE!E76+UKPN!E82</f>
        <v>-0.34805287165131576</v>
      </c>
      <c r="F82" s="149">
        <f>ENWL!F82+NGED!F76+NPg!F76+SPEN!F76+SSE!F76+UKPN!F82</f>
        <v>-0.45080204943345892</v>
      </c>
      <c r="G82" s="149">
        <f>ENWL!G82+NGED!G76+NPg!G76+SPEN!G76+SSE!G76+UKPN!G82</f>
        <v>-0.36113731775889502</v>
      </c>
      <c r="H82" s="149">
        <f>ENWL!H82+NGED!H76+NPg!H76+SPEN!H76+SSE!H76+UKPN!H82</f>
        <v>-0.32853732894875892</v>
      </c>
      <c r="J82" s="299">
        <f>ENWL!J82+NGED!J76+NPg!J76+SPEN!J76+SSE!J76+UKPN!J82</f>
        <v>-0.62737444696534161</v>
      </c>
      <c r="K82" s="149">
        <f>ENWL!K82+NGED!K76+NPg!K76+SPEN!K76+SSE!K76+UKPN!K82</f>
        <v>-2.1159040147577701</v>
      </c>
      <c r="L82" s="508"/>
      <c r="M82" s="507"/>
    </row>
    <row r="83" spans="1:13">
      <c r="A83" s="314" t="s">
        <v>224</v>
      </c>
      <c r="B83" s="295"/>
      <c r="C83" s="104" t="s">
        <v>228</v>
      </c>
      <c r="D83" s="149">
        <f>ENWL!D83+NGED!D79+NPg!D79+SPEN!D79+SSE!D79+UKPN!D83</f>
        <v>0</v>
      </c>
      <c r="E83" s="149">
        <f>ENWL!E83+NGED!E79+NPg!E79+SPEN!E79+SSE!E79+UKPN!E83</f>
        <v>0</v>
      </c>
      <c r="F83" s="149">
        <f>ENWL!F83+NGED!F79+NPg!F79+SPEN!F79+SSE!F79+UKPN!F83</f>
        <v>0</v>
      </c>
      <c r="G83" s="149">
        <f>ENWL!G83+NGED!G79+NPg!G79+SPEN!G79+SSE!G79+UKPN!G83</f>
        <v>0</v>
      </c>
      <c r="H83" s="149">
        <f>ENWL!H83+NGED!H79+NPg!H79+SPEN!H79+SSE!H79+UKPN!H83</f>
        <v>0</v>
      </c>
      <c r="J83" s="299">
        <f>ENWL!J83+NGED!J79+NPg!J79+SPEN!J79+SSE!J79+UKPN!J83</f>
        <v>0</v>
      </c>
      <c r="K83" s="149">
        <f>ENWL!K83+NGED!K79+NPg!K79+SPEN!K79+SSE!K79+UKPN!K83</f>
        <v>0</v>
      </c>
      <c r="L83" s="508"/>
      <c r="M83" s="507"/>
    </row>
    <row r="84" spans="1:13">
      <c r="A84" s="314" t="s">
        <v>225</v>
      </c>
      <c r="B84" s="295"/>
      <c r="C84" s="104" t="s">
        <v>228</v>
      </c>
      <c r="D84" s="149">
        <f>ENWL!D84+NGED!D80+NPg!D80+SPEN!D80+SSE!D80+UKPN!D84</f>
        <v>0</v>
      </c>
      <c r="E84" s="149">
        <f>ENWL!E84+NGED!E80+NPg!E80+SPEN!E80+SSE!E80+UKPN!E84</f>
        <v>0</v>
      </c>
      <c r="F84" s="149">
        <f>ENWL!F84+NGED!F80+NPg!F80+SPEN!F80+SSE!F80+UKPN!F84</f>
        <v>0</v>
      </c>
      <c r="G84" s="149">
        <f>ENWL!G84+NGED!G80+NPg!G80+SPEN!G80+SSE!G80+UKPN!G84</f>
        <v>0</v>
      </c>
      <c r="H84" s="149">
        <f>ENWL!H84+NGED!H80+NPg!H80+SPEN!H80+SSE!H80+UKPN!H84</f>
        <v>0</v>
      </c>
      <c r="J84" s="299">
        <f>ENWL!J84+NGED!J80+NPg!J80+SPEN!J80+SSE!J80+UKPN!J84</f>
        <v>0</v>
      </c>
      <c r="K84" s="149">
        <f>ENWL!K84+NGED!K80+NPg!K80+SPEN!K80+SSE!K80+UKPN!K84</f>
        <v>0</v>
      </c>
      <c r="L84" s="508"/>
      <c r="M84" s="507"/>
    </row>
    <row r="85" spans="1:13">
      <c r="A85" s="314" t="s">
        <v>226</v>
      </c>
      <c r="B85" s="295"/>
      <c r="C85" s="104" t="s">
        <v>228</v>
      </c>
      <c r="D85" s="149">
        <f>ENWL!D85+NGED!D81+NPg!D81+SPEN!D81+SSE!D81+UKPN!D85</f>
        <v>0</v>
      </c>
      <c r="E85" s="149">
        <f>ENWL!E85+NGED!E81+NPg!E81+SPEN!E81+SSE!E81+UKPN!E85</f>
        <v>0</v>
      </c>
      <c r="F85" s="149">
        <f>ENWL!F85+NGED!F81+NPg!F81+SPEN!F81+SSE!F81+UKPN!F85</f>
        <v>0</v>
      </c>
      <c r="G85" s="149">
        <f>ENWL!G85+NGED!G81+NPg!G81+SPEN!G81+SSE!G81+UKPN!G85</f>
        <v>0</v>
      </c>
      <c r="H85" s="149">
        <f>ENWL!H85+NGED!H81+NPg!H81+SPEN!H81+SSE!H81+UKPN!H85</f>
        <v>0</v>
      </c>
      <c r="J85" s="299">
        <f>ENWL!J85+NGED!J81+NPg!J81+SPEN!J81+SSE!J81+UKPN!J85</f>
        <v>0</v>
      </c>
      <c r="K85" s="149">
        <f>ENWL!K85+NGED!K81+NPg!K81+SPEN!K81+SSE!K81+UKPN!K85</f>
        <v>0</v>
      </c>
      <c r="L85" s="508"/>
      <c r="M85" s="507"/>
    </row>
    <row r="86" spans="1:13">
      <c r="B86" s="295"/>
      <c r="C86" s="104" t="s">
        <v>228</v>
      </c>
      <c r="D86" s="149">
        <v>0</v>
      </c>
      <c r="E86" s="149">
        <v>0</v>
      </c>
      <c r="F86" s="149">
        <v>0</v>
      </c>
      <c r="G86" s="149">
        <v>0</v>
      </c>
      <c r="H86" s="149">
        <v>0</v>
      </c>
      <c r="J86" s="299">
        <v>0</v>
      </c>
      <c r="K86" s="149">
        <v>0</v>
      </c>
      <c r="L86" s="297"/>
      <c r="M86" s="265"/>
    </row>
    <row r="87" spans="1:13">
      <c r="B87" s="295"/>
      <c r="C87" s="104" t="s">
        <v>228</v>
      </c>
      <c r="D87" s="149">
        <v>0</v>
      </c>
      <c r="E87" s="149">
        <v>0</v>
      </c>
      <c r="F87" s="149">
        <v>0</v>
      </c>
      <c r="G87" s="149">
        <v>0</v>
      </c>
      <c r="H87" s="149">
        <v>0</v>
      </c>
      <c r="J87" s="296">
        <v>0</v>
      </c>
      <c r="K87" s="296">
        <v>0</v>
      </c>
      <c r="L87" s="297"/>
      <c r="M87" s="265"/>
    </row>
    <row r="88" spans="1:13">
      <c r="B88" s="295" t="s">
        <v>121</v>
      </c>
      <c r="C88" s="104" t="s">
        <v>228</v>
      </c>
      <c r="D88" s="149">
        <f>ENWL!D88+NGED!D82+NPg!D82+SPEN!D82+SSE!D82+UKPN!D88</f>
        <v>-4.803799797599285</v>
      </c>
      <c r="E88" s="149">
        <f>ENWL!E88+NGED!E82+NPg!E82+SPEN!E82+SSE!E82+UKPN!E88</f>
        <v>-0.95985449212508844</v>
      </c>
      <c r="F88" s="149">
        <f>ENWL!F88+NGED!F82+NPg!F82+SPEN!F82+SSE!F82+UKPN!F88</f>
        <v>-0.94509514278487283</v>
      </c>
      <c r="G88" s="149">
        <f>ENWL!G88+NGED!G82+NPg!G82+SPEN!G82+SSE!G82+UKPN!G88</f>
        <v>-0.56867185467843595</v>
      </c>
      <c r="H88" s="149">
        <f>ENWL!H88+NGED!H82+NPg!H82+SPEN!H82+SSE!H82+UKPN!H88</f>
        <v>-0.56622776261551655</v>
      </c>
      <c r="J88" s="296">
        <f>ENWL!J88+NGED!J82+NPg!J82+SPEN!J82+SSE!J82+UKPN!J88</f>
        <v>-4.803799797599285</v>
      </c>
      <c r="K88" s="296">
        <f>ENWL!K88+NGED!K82+NPg!K82+SPEN!K82+SSE!K82+UKPN!K88</f>
        <v>-7.8436490498031981</v>
      </c>
      <c r="L88" s="297"/>
      <c r="M88" s="265"/>
    </row>
    <row r="89" spans="1:13">
      <c r="B89" s="300" t="s">
        <v>122</v>
      </c>
      <c r="C89" s="104" t="s">
        <v>228</v>
      </c>
      <c r="D89" s="150">
        <f>SUM(D69:D88)</f>
        <v>709.29010941951844</v>
      </c>
      <c r="E89" s="150">
        <f t="shared" ref="E89:H89" si="15">SUM(E69:E88)</f>
        <v>817.43018798272522</v>
      </c>
      <c r="F89" s="150">
        <f t="shared" si="15"/>
        <v>731.46970887540158</v>
      </c>
      <c r="G89" s="150">
        <f t="shared" si="15"/>
        <v>770.60095293854442</v>
      </c>
      <c r="H89" s="150">
        <f t="shared" si="15"/>
        <v>944.64848507195779</v>
      </c>
      <c r="J89" s="301">
        <f>SUM(J69:J88)</f>
        <v>709.29010941951844</v>
      </c>
      <c r="K89" s="302">
        <f>SUM(K69:K88)</f>
        <v>3973.439444288148</v>
      </c>
      <c r="L89" s="508"/>
      <c r="M89" s="507"/>
    </row>
    <row r="90" spans="1:13">
      <c r="A90" s="344"/>
      <c r="B90" s="295" t="s">
        <v>123</v>
      </c>
      <c r="C90" s="104" t="s">
        <v>228</v>
      </c>
      <c r="D90" s="149">
        <f>ENWL!D90+NGED!D84+NPg!D84+SPEN!D84+SSE!D84+UKPN!D90</f>
        <v>934.4982347404258</v>
      </c>
      <c r="E90" s="149">
        <f>ENWL!E90+NGED!E84+NPg!E84+SPEN!E84+SSE!E84+UKPN!E90</f>
        <v>148.13206318988469</v>
      </c>
      <c r="F90" s="149">
        <f>ENWL!F90+NGED!F84+NPg!F84+SPEN!F84+SSE!F84+UKPN!F90</f>
        <v>-9.4565365557565642</v>
      </c>
      <c r="G90" s="149">
        <f>ENWL!G90+NGED!G84+NPg!G84+SPEN!G84+SSE!G84+UKPN!G90</f>
        <v>-6.2049434226928595</v>
      </c>
      <c r="H90" s="149">
        <f>ENWL!H90+NGED!H84+NPg!H84+SPEN!H84+SSE!H84+UKPN!H90</f>
        <v>60.524464784135063</v>
      </c>
      <c r="J90" s="296">
        <f>ENWL!J90+NGED!J84+NPg!J84+SPEN!J84+SSE!J84+UKPN!J90</f>
        <v>934.4982347404258</v>
      </c>
      <c r="K90" s="296">
        <f>ENWL!K90+NGED!K84+NPg!K84+SPEN!K84+SSE!K84+UKPN!K90</f>
        <v>1127.4932827359962</v>
      </c>
      <c r="L90" s="509"/>
      <c r="M90" s="507"/>
    </row>
    <row r="91" spans="1:13">
      <c r="B91" s="295" t="s">
        <v>179</v>
      </c>
      <c r="C91" s="104" t="s">
        <v>228</v>
      </c>
      <c r="D91" s="149">
        <f>ENWL!D91+NGED!D85+NPg!D85+SPEN!D85+SSE!D85+UKPN!D91</f>
        <v>-44.830292511949942</v>
      </c>
      <c r="E91" s="149">
        <f>ENWL!E91+NGED!E85+NPg!E85+SPEN!E85+SSE!E85+UKPN!E91</f>
        <v>23.131931973639698</v>
      </c>
      <c r="F91" s="149">
        <f>ENWL!F91+NGED!F85+NPg!F85+SPEN!F85+SSE!F85+UKPN!F91</f>
        <v>15.805442644806378</v>
      </c>
      <c r="G91" s="149">
        <f>ENWL!G91+NGED!G85+NPg!G85+SPEN!G85+SSE!G85+UKPN!G91</f>
        <v>4.254103891103119</v>
      </c>
      <c r="H91" s="149">
        <f>ENWL!H91+NGED!H85+NPg!H85+SPEN!H85+SSE!H85+UKPN!H91</f>
        <v>5.65220162285779</v>
      </c>
      <c r="J91" s="296">
        <f>ENWL!J91+NGED!J85+NPg!J85+SPEN!J85+SSE!J85+UKPN!J91</f>
        <v>-44.830292511949942</v>
      </c>
      <c r="K91" s="296">
        <f>ENWL!K91+NGED!K85+NPg!K85+SPEN!K85+SSE!K85+UKPN!K91</f>
        <v>4.0133876204570482</v>
      </c>
      <c r="L91" s="508"/>
      <c r="M91" s="507"/>
    </row>
    <row r="92" spans="1:13">
      <c r="B92" s="295" t="s">
        <v>124</v>
      </c>
      <c r="C92" s="104" t="s">
        <v>228</v>
      </c>
      <c r="D92" s="149">
        <f>ENWL!D92+NGED!D86+NPg!D86+SPEN!D86+SSE!D86+UKPN!D92</f>
        <v>-36.742629527445217</v>
      </c>
      <c r="E92" s="149">
        <f>ENWL!E92+NGED!E86+NPg!E86+SPEN!E86+SSE!E86+UKPN!E92</f>
        <v>31.544173799664932</v>
      </c>
      <c r="F92" s="149">
        <f>ENWL!F92+NGED!F86+NPg!F86+SPEN!F86+SSE!F86+UKPN!F92</f>
        <v>-8.5335367360362699</v>
      </c>
      <c r="G92" s="149">
        <f>ENWL!G92+NGED!G86+NPg!G86+SPEN!G86+SSE!G86+UKPN!G92</f>
        <v>26.503876143497081</v>
      </c>
      <c r="H92" s="149">
        <f>ENWL!H92+NGED!H86+NPg!H86+SPEN!H86+SSE!H86+UKPN!H92</f>
        <v>23.246834925808884</v>
      </c>
      <c r="J92" s="296">
        <f>ENWL!J92+NGED!J86+NPg!J86+SPEN!J86+SSE!J86+UKPN!J92</f>
        <v>-36.742629527445217</v>
      </c>
      <c r="K92" s="296">
        <f>ENWL!K92+NGED!K86+NPg!K86+SPEN!K86+SSE!K86+UKPN!K92</f>
        <v>36.018718605489411</v>
      </c>
      <c r="L92" s="508"/>
      <c r="M92" s="507"/>
    </row>
    <row r="93" spans="1:13">
      <c r="B93" s="295" t="s">
        <v>180</v>
      </c>
      <c r="C93" s="104" t="s">
        <v>228</v>
      </c>
      <c r="D93" s="149">
        <f>ENWL!D93+NGED!D87+NPg!D87+SPEN!D87+SSE!D87+UKPN!D93</f>
        <v>11.207573127987484</v>
      </c>
      <c r="E93" s="149">
        <f>ENWL!E93+NGED!E87+NPg!E87+SPEN!E87+SSE!E87+UKPN!E93</f>
        <v>-5.7829829934099282</v>
      </c>
      <c r="F93" s="149">
        <f>ENWL!F93+NGED!F87+NPg!F87+SPEN!F87+SSE!F87+UKPN!F93</f>
        <v>-3.9513606612016026</v>
      </c>
      <c r="G93" s="149">
        <f>ENWL!G93+NGED!G87+NPg!G87+SPEN!G87+SSE!G87+UKPN!G93</f>
        <v>-1.0635259727757782</v>
      </c>
      <c r="H93" s="149">
        <f>ENWL!H93+NGED!H87+NPg!H87+SPEN!H87+SSE!H87+UKPN!H93</f>
        <v>-1.4130504057144428</v>
      </c>
      <c r="J93" s="296">
        <f>ENWL!J93+NGED!J87+NPg!J87+SPEN!J87+SSE!J87+UKPN!J93</f>
        <v>11.207573127987484</v>
      </c>
      <c r="K93" s="296">
        <f>ENWL!K93+NGED!K87+NPg!K87+SPEN!K87+SSE!K87+UKPN!K93</f>
        <v>-1.0033469051142676</v>
      </c>
      <c r="L93" s="508"/>
      <c r="M93" s="507"/>
    </row>
    <row r="94" spans="1:13">
      <c r="B94" s="300" t="s">
        <v>125</v>
      </c>
      <c r="C94" s="104" t="s">
        <v>228</v>
      </c>
      <c r="D94" s="150">
        <f>SUM(D89:D93)</f>
        <v>1573.4229952485366</v>
      </c>
      <c r="E94" s="150">
        <f t="shared" ref="E94:H94" si="16">SUM(E89:E93)</f>
        <v>1014.4553739525045</v>
      </c>
      <c r="F94" s="150">
        <f t="shared" si="16"/>
        <v>725.33371756721351</v>
      </c>
      <c r="G94" s="150">
        <f t="shared" si="16"/>
        <v>794.09046357767602</v>
      </c>
      <c r="H94" s="150">
        <f t="shared" si="16"/>
        <v>1032.6589359990451</v>
      </c>
      <c r="J94" s="153">
        <f>SUM(J89:J93)</f>
        <v>1573.4229952485366</v>
      </c>
      <c r="K94" s="304">
        <f>SUM(K89:K93)</f>
        <v>5139.9614863449769</v>
      </c>
      <c r="L94" s="508"/>
      <c r="M94" s="507"/>
    </row>
    <row r="95" spans="1:13">
      <c r="B95" s="295"/>
      <c r="D95" s="305"/>
      <c r="E95" s="256"/>
      <c r="F95" s="256"/>
      <c r="G95" s="256"/>
      <c r="H95" s="256"/>
      <c r="I95" s="265"/>
      <c r="J95" s="265"/>
      <c r="K95" s="256"/>
      <c r="L95" s="507"/>
      <c r="M95" s="507"/>
    </row>
    <row r="96" spans="1:13">
      <c r="B96" s="295" t="s">
        <v>181</v>
      </c>
      <c r="C96" s="104" t="s">
        <v>228</v>
      </c>
      <c r="D96" s="149">
        <f>ENWL!D96+NGED!D90+NPg!D90+SPEN!D90+SSE!D90+UKPN!D96</f>
        <v>11398.686804119823</v>
      </c>
      <c r="E96" s="149">
        <f>ENWL!E96+NGED!E90+NPg!E90+SPEN!E90+SSE!E90+UKPN!E96</f>
        <v>11779.212501483516</v>
      </c>
      <c r="F96" s="149">
        <f>ENWL!F96+NGED!F90+NPg!F90+SPEN!F90+SSE!F90+UKPN!F96</f>
        <v>12327.360381048449</v>
      </c>
      <c r="G96" s="149">
        <f>ENWL!G96+NGED!G90+NPg!G90+SPEN!G90+SSE!G90+UKPN!G96</f>
        <v>12890.134863171035</v>
      </c>
      <c r="H96" s="149">
        <f>ENWL!H96+NGED!H90+NPg!H90+SPEN!H90+SSE!H90+UKPN!H96</f>
        <v>13392.009704748707</v>
      </c>
      <c r="I96" s="507"/>
      <c r="J96" s="507"/>
      <c r="K96" s="256"/>
      <c r="L96" s="507"/>
      <c r="M96" s="507"/>
    </row>
    <row r="97" spans="1:13">
      <c r="B97" s="295" t="s">
        <v>182</v>
      </c>
      <c r="C97" s="104" t="s">
        <v>228</v>
      </c>
      <c r="D97" s="149">
        <f>ENWL!D97+NGED!D91+NPg!D91+SPEN!D91+SSE!D91+UKPN!D97</f>
        <v>13286.558121490025</v>
      </c>
      <c r="E97" s="149">
        <f>ENWL!E97+NGED!E91+NPg!E91+SPEN!E91+SSE!E91+UKPN!E97</f>
        <v>12855.408434204959</v>
      </c>
      <c r="F97" s="149">
        <f>ENWL!F97+NGED!F91+NPg!F91+SPEN!F91+SSE!F91+UKPN!F97</f>
        <v>12799.267791870712</v>
      </c>
      <c r="G97" s="149">
        <f>ENWL!G97+NGED!G91+NPg!G91+SPEN!G91+SSE!G91+UKPN!G97</f>
        <v>12998.459794139384</v>
      </c>
      <c r="H97" s="149">
        <f>ENWL!H97+NGED!H91+NPg!H91+SPEN!H91+SSE!H91+UKPN!H97</f>
        <v>13510.909971310564</v>
      </c>
      <c r="I97" s="507"/>
      <c r="J97" s="507"/>
      <c r="K97" s="256"/>
      <c r="L97" s="507"/>
      <c r="M97" s="507"/>
    </row>
    <row r="98" spans="1:13">
      <c r="A98" s="342"/>
      <c r="B98" s="265"/>
      <c r="C98" s="256"/>
      <c r="D98" s="256"/>
      <c r="E98" s="256"/>
      <c r="F98" s="256"/>
      <c r="G98" s="256"/>
      <c r="H98" s="256"/>
      <c r="I98" s="505"/>
      <c r="J98" s="505"/>
      <c r="K98" s="256"/>
      <c r="L98" s="507"/>
      <c r="M98" s="507"/>
    </row>
    <row r="99" spans="1:13">
      <c r="A99" s="342"/>
      <c r="B99" s="265"/>
      <c r="C99" s="256"/>
      <c r="D99" s="256"/>
      <c r="E99" s="256"/>
      <c r="F99" s="256"/>
      <c r="G99" s="256"/>
      <c r="H99" s="256"/>
      <c r="I99" s="505"/>
      <c r="J99" s="505"/>
      <c r="K99" s="256"/>
      <c r="L99" s="507"/>
      <c r="M99" s="507"/>
    </row>
    <row r="100" spans="1:13">
      <c r="A100" s="342"/>
      <c r="B100" s="306" t="s">
        <v>229</v>
      </c>
      <c r="D100" s="307" t="str">
        <f t="shared" ref="D100:H101" si="17">D6</f>
        <v>Actuals</v>
      </c>
      <c r="E100" s="307" t="str">
        <f t="shared" si="17"/>
        <v>Forecast</v>
      </c>
      <c r="F100" s="307" t="str">
        <f t="shared" si="17"/>
        <v>Forecast</v>
      </c>
      <c r="G100" s="307" t="str">
        <f t="shared" si="17"/>
        <v>Forecast</v>
      </c>
      <c r="H100" s="307" t="str">
        <f t="shared" si="17"/>
        <v>Forecast</v>
      </c>
      <c r="L100" s="507"/>
      <c r="M100" s="507"/>
    </row>
    <row r="101" spans="1:13" ht="22.8">
      <c r="A101" s="342"/>
      <c r="B101" s="308"/>
      <c r="D101" s="309">
        <f t="shared" si="17"/>
        <v>2024</v>
      </c>
      <c r="E101" s="309">
        <f t="shared" si="17"/>
        <v>2025</v>
      </c>
      <c r="F101" s="309">
        <f t="shared" si="17"/>
        <v>2026</v>
      </c>
      <c r="G101" s="309">
        <f t="shared" si="17"/>
        <v>2027</v>
      </c>
      <c r="H101" s="309">
        <f t="shared" si="17"/>
        <v>2028</v>
      </c>
      <c r="J101" s="310" t="str">
        <f>ET!J95</f>
        <v>Cumulative to 2024</v>
      </c>
      <c r="K101" s="311" t="str">
        <f>ET!K95</f>
        <v>RIIO-2 period</v>
      </c>
      <c r="L101" s="504"/>
      <c r="M101" s="505"/>
    </row>
    <row r="102" spans="1:13">
      <c r="A102" s="342"/>
      <c r="B102" s="308" t="s">
        <v>154</v>
      </c>
      <c r="C102" s="104" t="s">
        <v>228</v>
      </c>
      <c r="D102" s="296">
        <f>ENWL!D102+NGED!D96+NPg!D96+SPEN!D96+SSE!D96+UKPN!D102</f>
        <v>3767.7945225514991</v>
      </c>
      <c r="E102" s="296">
        <f>ENWL!E102+NGED!E96+NPg!E96+SPEN!E96+SSE!E96+UKPN!E102</f>
        <v>4559.744220606176</v>
      </c>
      <c r="F102" s="296">
        <f>ENWL!F102+NGED!F96+NPg!F96+SPEN!F96+SSE!F96+UKPN!F102</f>
        <v>4971.9450522600891</v>
      </c>
      <c r="G102" s="296">
        <f>ENWL!G102+NGED!G96+NPg!G96+SPEN!G96+SSE!G96+UKPN!G102</f>
        <v>4694.6251816416043</v>
      </c>
      <c r="H102" s="296">
        <f>ENWL!H102+NGED!H96+NPg!H96+SPEN!H96+SSE!H96+UKPN!H102</f>
        <v>4403.5039668756963</v>
      </c>
      <c r="I102" s="308"/>
      <c r="J102" s="296">
        <f>ENWL!J102+NGED!J96+NPg!J96+SPEN!J96+SSE!J96+UKPN!J102</f>
        <v>3767.7945225514991</v>
      </c>
      <c r="K102" s="296">
        <f>ENWL!K102+NGED!K96+NPg!K96+SPEN!K96+SSE!K96+UKPN!K102</f>
        <v>22397.61294393507</v>
      </c>
      <c r="L102" s="504"/>
      <c r="M102" s="505"/>
    </row>
    <row r="103" spans="1:13" ht="30" customHeight="1">
      <c r="A103" s="342"/>
      <c r="B103" s="312" t="s">
        <v>155</v>
      </c>
      <c r="C103" s="104" t="s">
        <v>228</v>
      </c>
      <c r="D103" s="296">
        <f>ENWL!D103+NGED!D97+NPg!D97+SPEN!D97+SSE!D97+UKPN!D103</f>
        <v>4424.4652335859109</v>
      </c>
      <c r="E103" s="296">
        <f>ENWL!E103+NGED!E97+NPg!E97+SPEN!E97+SSE!E97+UKPN!E103</f>
        <v>4747.7893037834119</v>
      </c>
      <c r="F103" s="296">
        <f>ENWL!F103+NGED!F97+NPg!F97+SPEN!F97+SSE!F97+UKPN!F103</f>
        <v>4822.0110713111362</v>
      </c>
      <c r="G103" s="296">
        <f>ENWL!G103+NGED!G97+NPg!G97+SPEN!G97+SSE!G97+UKPN!G103</f>
        <v>4473.8031142369118</v>
      </c>
      <c r="H103" s="296">
        <f>ENWL!H103+NGED!H97+NPg!H97+SPEN!H97+SSE!H97+UKPN!H103</f>
        <v>4458.6042181121029</v>
      </c>
      <c r="I103" s="308"/>
      <c r="J103" s="296">
        <f>ENWL!J103+NGED!J97+NPg!J97+SPEN!J97+SSE!J97+UKPN!J103</f>
        <v>4424.4652335859109</v>
      </c>
      <c r="K103" s="296">
        <f>ENWL!K103+NGED!K97+NPg!K97+SPEN!K97+SSE!K97+UKPN!K103</f>
        <v>22926.672941029472</v>
      </c>
      <c r="L103" s="504"/>
      <c r="M103" s="505"/>
    </row>
    <row r="104" spans="1:13">
      <c r="A104" s="342"/>
      <c r="B104" s="306" t="s">
        <v>156</v>
      </c>
      <c r="C104" s="104" t="s">
        <v>228</v>
      </c>
      <c r="D104" s="313">
        <f>ENWL!D104+NGED!D98+NPg!D98+SPEN!D98+SSE!D98+UKPN!D104</f>
        <v>656.67071103441208</v>
      </c>
      <c r="E104" s="313">
        <f>ENWL!E104+NGED!E98+NPg!E98+SPEN!E98+SSE!E98+UKPN!E104</f>
        <v>188.04508317723599</v>
      </c>
      <c r="F104" s="313">
        <f>ENWL!F104+NGED!F98+NPg!F98+SPEN!F98+SSE!F98+UKPN!F104</f>
        <v>-149.93398094895286</v>
      </c>
      <c r="G104" s="313">
        <f>ENWL!G104+NGED!G98+NPg!G98+SPEN!G98+SSE!G98+UKPN!G104</f>
        <v>-220.82206740469206</v>
      </c>
      <c r="H104" s="296">
        <f>ENWL!H104+NGED!H98+NPg!H98+SPEN!H98+SSE!H98+UKPN!H104</f>
        <v>55.100251236406415</v>
      </c>
      <c r="I104" s="306"/>
      <c r="J104" s="313">
        <f>ENWL!J104+NGED!J98+NPg!J98+SPEN!J98+SSE!J98+UKPN!J104</f>
        <v>656.67071103441208</v>
      </c>
      <c r="K104" s="313">
        <f>ENWL!K104+NGED!K98+NPg!K98+SPEN!K98+SSE!K98+UKPN!K104</f>
        <v>529.05999709441005</v>
      </c>
      <c r="L104" s="504"/>
      <c r="M104" s="505"/>
    </row>
    <row r="105" spans="1:13">
      <c r="A105" s="342"/>
      <c r="B105" s="308" t="s">
        <v>157</v>
      </c>
      <c r="C105" s="104" t="s">
        <v>228</v>
      </c>
      <c r="D105" s="296">
        <f>ENWL!D105+NGED!D99+NPg!D99+SPEN!D99+SSE!D99+UKPN!D105</f>
        <v>-456.53910905076305</v>
      </c>
      <c r="E105" s="296">
        <f>ENWL!E105+NGED!E99+NPg!E99+SPEN!E99+SSE!E99+UKPN!E105</f>
        <v>17.093374613590562</v>
      </c>
      <c r="F105" s="296">
        <f>ENWL!F105+NGED!F99+NPg!F99+SPEN!F99+SSE!F99+UKPN!F105</f>
        <v>147.01413783520294</v>
      </c>
      <c r="G105" s="296">
        <f>ENWL!G105+NGED!G99+NPg!G99+SPEN!G99+SSE!G99+UKPN!G105</f>
        <v>211.28983664579749</v>
      </c>
      <c r="H105" s="296">
        <f>ENWL!H105+NGED!H99+NPg!H99+SPEN!H99+SSE!H99+UKPN!H105</f>
        <v>160.54455383921203</v>
      </c>
      <c r="I105" s="308"/>
      <c r="J105" s="296">
        <f>ENWL!J105+NGED!J99+NPg!J99+SPEN!J99+SSE!J99+UKPN!J105</f>
        <v>-456.53910905076305</v>
      </c>
      <c r="K105" s="296">
        <f>ENWL!K105+NGED!K99+NPg!K99+SPEN!K99+SSE!K99+UKPN!K105</f>
        <v>79.40279388303999</v>
      </c>
      <c r="L105" s="504"/>
      <c r="M105" s="505"/>
    </row>
    <row r="106" spans="1:13">
      <c r="A106" s="342"/>
      <c r="B106" s="306" t="s">
        <v>158</v>
      </c>
      <c r="C106" s="104" t="s">
        <v>228</v>
      </c>
      <c r="D106" s="315">
        <f>D104+D105</f>
        <v>200.13160198364903</v>
      </c>
      <c r="E106" s="315">
        <f>E104+E105</f>
        <v>205.13845779082655</v>
      </c>
      <c r="F106" s="315">
        <f t="shared" ref="F106:H106" si="18">F104+F105</f>
        <v>-2.9198431137499199</v>
      </c>
      <c r="G106" s="315">
        <f>G104+G105</f>
        <v>-9.5322307588945705</v>
      </c>
      <c r="H106" s="315">
        <f t="shared" si="18"/>
        <v>215.64480507561845</v>
      </c>
      <c r="I106" s="306"/>
      <c r="J106" s="153">
        <f>J104+J105</f>
        <v>200.13160198364903</v>
      </c>
      <c r="K106" s="153">
        <f>K104+K105</f>
        <v>608.46279097745003</v>
      </c>
      <c r="L106" s="506"/>
      <c r="M106" s="505"/>
    </row>
    <row r="107" spans="1:13">
      <c r="A107" s="342"/>
      <c r="B107" s="306" t="s">
        <v>159</v>
      </c>
      <c r="C107" s="314" t="s">
        <v>163</v>
      </c>
      <c r="D107" s="151">
        <f>D106/D103</f>
        <v>4.5232947128719489E-2</v>
      </c>
      <c r="E107" s="151">
        <f>E106/E103</f>
        <v>4.320715277473583E-2</v>
      </c>
      <c r="F107" s="151">
        <f t="shared" ref="F107:H107" si="19">F106/F103</f>
        <v>-6.055239340120377E-4</v>
      </c>
      <c r="G107" s="151">
        <f t="shared" si="19"/>
        <v>-2.1306773041845106E-3</v>
      </c>
      <c r="H107" s="151">
        <f t="shared" si="19"/>
        <v>4.8365989562295902E-2</v>
      </c>
      <c r="J107" s="151">
        <f>J106/J103</f>
        <v>4.5232947128719489E-2</v>
      </c>
      <c r="K107" s="151">
        <f>K106/K103</f>
        <v>2.653951546055109E-2</v>
      </c>
      <c r="L107" s="506"/>
      <c r="M107" s="505"/>
    </row>
  </sheetData>
  <mergeCells count="111">
    <mergeCell ref="L6:M6"/>
    <mergeCell ref="L8:M8"/>
    <mergeCell ref="I9:J9"/>
    <mergeCell ref="L9:M9"/>
    <mergeCell ref="I10:J10"/>
    <mergeCell ref="L10:M10"/>
    <mergeCell ref="I1:J1"/>
    <mergeCell ref="I2:J2"/>
    <mergeCell ref="I3:J3"/>
    <mergeCell ref="I4:J4"/>
    <mergeCell ref="L4:M4"/>
    <mergeCell ref="I6:J6"/>
    <mergeCell ref="L5:M5"/>
    <mergeCell ref="L17:M17"/>
    <mergeCell ref="L18:M18"/>
    <mergeCell ref="L19:M19"/>
    <mergeCell ref="L20:M20"/>
    <mergeCell ref="L21:M21"/>
    <mergeCell ref="L22:M22"/>
    <mergeCell ref="L11:M11"/>
    <mergeCell ref="L12:M12"/>
    <mergeCell ref="L13:M13"/>
    <mergeCell ref="L14:M14"/>
    <mergeCell ref="L15:M15"/>
    <mergeCell ref="L16:M16"/>
    <mergeCell ref="L33:M33"/>
    <mergeCell ref="L34:M34"/>
    <mergeCell ref="L35:M35"/>
    <mergeCell ref="L23:M23"/>
    <mergeCell ref="L24:M24"/>
    <mergeCell ref="L25:M25"/>
    <mergeCell ref="L26:M26"/>
    <mergeCell ref="L27:M27"/>
    <mergeCell ref="L32:M32"/>
    <mergeCell ref="I39:J39"/>
    <mergeCell ref="L39:M39"/>
    <mergeCell ref="L40:M40"/>
    <mergeCell ref="L41:M41"/>
    <mergeCell ref="L42:M42"/>
    <mergeCell ref="L43:M43"/>
    <mergeCell ref="I36:J36"/>
    <mergeCell ref="L36:M36"/>
    <mergeCell ref="I37:J37"/>
    <mergeCell ref="L37:M37"/>
    <mergeCell ref="I38:J38"/>
    <mergeCell ref="L38:M38"/>
    <mergeCell ref="L50:M50"/>
    <mergeCell ref="L51:M51"/>
    <mergeCell ref="L52:M52"/>
    <mergeCell ref="L53:M53"/>
    <mergeCell ref="L54:M54"/>
    <mergeCell ref="L55:M55"/>
    <mergeCell ref="L44:M44"/>
    <mergeCell ref="L45:M45"/>
    <mergeCell ref="L46:M46"/>
    <mergeCell ref="L47:M47"/>
    <mergeCell ref="L48:M48"/>
    <mergeCell ref="L49:M49"/>
    <mergeCell ref="L64:M64"/>
    <mergeCell ref="I65:J65"/>
    <mergeCell ref="L65:M65"/>
    <mergeCell ref="I66:J66"/>
    <mergeCell ref="L66:M66"/>
    <mergeCell ref="L56:M56"/>
    <mergeCell ref="L61:M61"/>
    <mergeCell ref="L62:M62"/>
    <mergeCell ref="L63:M63"/>
    <mergeCell ref="L71:M71"/>
    <mergeCell ref="L72:M72"/>
    <mergeCell ref="L73:M73"/>
    <mergeCell ref="L74:M74"/>
    <mergeCell ref="L75:M75"/>
    <mergeCell ref="L76:M76"/>
    <mergeCell ref="I67:J67"/>
    <mergeCell ref="L67:M67"/>
    <mergeCell ref="I68:J68"/>
    <mergeCell ref="L68:M68"/>
    <mergeCell ref="L69:M69"/>
    <mergeCell ref="L70:M70"/>
    <mergeCell ref="L83:M83"/>
    <mergeCell ref="L84:M84"/>
    <mergeCell ref="L85:M85"/>
    <mergeCell ref="L89:M89"/>
    <mergeCell ref="L90:M90"/>
    <mergeCell ref="L91:M91"/>
    <mergeCell ref="L77:M77"/>
    <mergeCell ref="L78:M78"/>
    <mergeCell ref="L79:M79"/>
    <mergeCell ref="L80:M80"/>
    <mergeCell ref="L81:M81"/>
    <mergeCell ref="L82:M82"/>
    <mergeCell ref="I96:J96"/>
    <mergeCell ref="L96:M96"/>
    <mergeCell ref="I97:J97"/>
    <mergeCell ref="L97:M97"/>
    <mergeCell ref="I98:J98"/>
    <mergeCell ref="L98:M98"/>
    <mergeCell ref="L92:M92"/>
    <mergeCell ref="L93:M93"/>
    <mergeCell ref="L94:M94"/>
    <mergeCell ref="L95:M95"/>
    <mergeCell ref="L104:M104"/>
    <mergeCell ref="L105:M105"/>
    <mergeCell ref="L106:M106"/>
    <mergeCell ref="L107:M107"/>
    <mergeCell ref="I99:J99"/>
    <mergeCell ref="L99:M99"/>
    <mergeCell ref="L100:M100"/>
    <mergeCell ref="L101:M101"/>
    <mergeCell ref="L102:M102"/>
    <mergeCell ref="L103:M103"/>
  </mergeCells>
  <conditionalFormatting sqref="D100:H101">
    <cfRule type="expression" dxfId="24" priority="63">
      <formula>AND(D$7="Actuals",E$7="Forecast")</formula>
    </cfRule>
  </conditionalFormatting>
  <pageMargins left="0.7" right="0.7" top="0.75" bottom="0.75" header="0.3" footer="0.3"/>
  <ignoredErrors>
    <ignoredError sqref="D31:K31" formula="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A2C5-0756-4234-87BF-B298CF2B8D94}">
  <sheetPr>
    <tabColor theme="8" tint="0.39997558519241921"/>
  </sheetPr>
  <dimension ref="A1:W107"/>
  <sheetViews>
    <sheetView zoomScale="80" zoomScaleNormal="80" workbookViewId="0"/>
  </sheetViews>
  <sheetFormatPr defaultColWidth="9.26953125" defaultRowHeight="11.4"/>
  <cols>
    <col min="1" max="1" width="5.90625" style="314" customWidth="1"/>
    <col min="2" max="2" width="51.26953125" style="104" bestFit="1" customWidth="1"/>
    <col min="3" max="3" width="8.7265625" style="104" customWidth="1"/>
    <col min="4" max="6" width="6.90625" style="104" bestFit="1" customWidth="1"/>
    <col min="7" max="7" width="8.453125" style="104" customWidth="1"/>
    <col min="8" max="8" width="9" style="104" customWidth="1"/>
    <col min="9" max="9" width="2.08984375" style="104" customWidth="1"/>
    <col min="10" max="10" width="9.6328125" style="104" customWidth="1"/>
    <col min="11" max="11" width="9" style="104" customWidth="1"/>
    <col min="12" max="12" width="1.08984375" style="104" bestFit="1" customWidth="1"/>
    <col min="13" max="16384" width="9.26953125" style="104"/>
  </cols>
  <sheetData>
    <row r="1" spans="1:23" ht="15.6">
      <c r="A1" s="419" t="s">
        <v>162</v>
      </c>
      <c r="B1" s="251"/>
      <c r="C1" s="252"/>
      <c r="D1" s="252"/>
      <c r="E1" s="252"/>
      <c r="F1" s="252"/>
      <c r="G1" s="253"/>
      <c r="H1" s="253"/>
      <c r="I1" s="522"/>
      <c r="J1" s="522"/>
      <c r="K1" s="254"/>
      <c r="L1" s="255" t="s">
        <v>30</v>
      </c>
      <c r="M1" s="256"/>
      <c r="N1" s="256"/>
      <c r="O1" s="256"/>
      <c r="P1" s="256"/>
      <c r="Q1" s="256"/>
      <c r="R1" s="256"/>
      <c r="S1" s="256"/>
      <c r="T1" s="256"/>
      <c r="U1" s="256"/>
      <c r="V1" s="256"/>
      <c r="W1" s="256"/>
    </row>
    <row r="2" spans="1:23" ht="15.6">
      <c r="A2" s="425" t="s">
        <v>22</v>
      </c>
      <c r="B2" s="257"/>
      <c r="C2" s="258"/>
      <c r="D2" s="258"/>
      <c r="E2" s="258"/>
      <c r="F2" s="258"/>
      <c r="G2" s="259"/>
      <c r="H2" s="259"/>
      <c r="I2" s="523"/>
      <c r="J2" s="523"/>
      <c r="K2" s="260"/>
      <c r="L2" s="261"/>
      <c r="M2" s="256"/>
      <c r="N2" s="256"/>
      <c r="O2" s="256"/>
      <c r="P2" s="256"/>
      <c r="Q2" s="256"/>
      <c r="R2" s="256"/>
      <c r="S2" s="256"/>
      <c r="T2" s="256"/>
      <c r="U2" s="256"/>
      <c r="V2" s="256"/>
      <c r="W2" s="256"/>
    </row>
    <row r="3" spans="1:23" ht="15.6">
      <c r="A3" s="430">
        <v>2024</v>
      </c>
      <c r="B3" s="259"/>
      <c r="C3" s="259"/>
      <c r="D3" s="259"/>
      <c r="E3" s="259"/>
      <c r="F3" s="259"/>
      <c r="G3" s="259"/>
      <c r="H3" s="262"/>
      <c r="I3" s="524"/>
      <c r="J3" s="524"/>
      <c r="K3" s="263"/>
      <c r="L3" s="264"/>
      <c r="M3" s="256"/>
      <c r="N3" s="256"/>
      <c r="O3" s="256"/>
      <c r="P3" s="256"/>
      <c r="Q3" s="256"/>
      <c r="R3" s="256"/>
      <c r="S3" s="256"/>
      <c r="T3" s="256"/>
      <c r="U3" s="256"/>
      <c r="V3" s="256"/>
      <c r="W3" s="256"/>
    </row>
    <row r="4" spans="1:23">
      <c r="A4" s="342"/>
      <c r="B4" s="265"/>
      <c r="C4" s="256"/>
      <c r="D4" s="256"/>
      <c r="E4" s="256"/>
      <c r="F4" s="256"/>
      <c r="G4" s="256"/>
      <c r="H4" s="256"/>
      <c r="I4" s="525"/>
      <c r="J4" s="525"/>
      <c r="K4" s="256"/>
      <c r="L4" s="505"/>
      <c r="M4" s="505"/>
      <c r="N4" s="256"/>
      <c r="O4" s="256"/>
      <c r="P4" s="256"/>
      <c r="Q4" s="256"/>
      <c r="R4" s="256"/>
      <c r="S4" s="256"/>
      <c r="T4" s="256"/>
      <c r="U4" s="256"/>
      <c r="V4" s="256"/>
      <c r="W4" s="256"/>
    </row>
    <row r="5" spans="1:23">
      <c r="A5" s="342"/>
      <c r="B5" s="265"/>
      <c r="C5" s="266"/>
      <c r="D5" s="267" t="s">
        <v>198</v>
      </c>
      <c r="E5" s="267" t="s">
        <v>211</v>
      </c>
      <c r="F5" s="267" t="s">
        <v>211</v>
      </c>
      <c r="G5" s="267" t="s">
        <v>211</v>
      </c>
      <c r="H5" s="267" t="s">
        <v>211</v>
      </c>
      <c r="I5" s="526"/>
      <c r="J5" s="527"/>
      <c r="K5" s="256"/>
      <c r="L5" s="504"/>
      <c r="M5" s="505"/>
      <c r="N5" s="256"/>
      <c r="O5" s="256"/>
      <c r="P5" s="256"/>
      <c r="Q5" s="256"/>
      <c r="R5" s="256"/>
      <c r="S5" s="256"/>
      <c r="T5" s="256"/>
      <c r="U5" s="256"/>
      <c r="V5" s="256"/>
      <c r="W5" s="256"/>
    </row>
    <row r="6" spans="1:23" ht="22.8">
      <c r="A6" s="342"/>
      <c r="B6" s="265"/>
      <c r="C6" s="266"/>
      <c r="D6" s="269">
        <v>2024</v>
      </c>
      <c r="E6" s="269">
        <v>2025</v>
      </c>
      <c r="F6" s="269">
        <v>2026</v>
      </c>
      <c r="G6" s="269">
        <v>2027</v>
      </c>
      <c r="H6" s="269">
        <v>2028</v>
      </c>
      <c r="I6" s="270"/>
      <c r="J6" s="271" t="s">
        <v>58</v>
      </c>
      <c r="K6" s="272" t="s">
        <v>59</v>
      </c>
      <c r="L6" s="266"/>
      <c r="M6" s="256"/>
      <c r="N6" s="256"/>
      <c r="O6" s="256"/>
      <c r="P6" s="256"/>
      <c r="Q6" s="256"/>
      <c r="R6" s="256"/>
      <c r="S6" s="256"/>
      <c r="T6" s="256"/>
      <c r="U6" s="256"/>
      <c r="V6" s="256"/>
      <c r="W6" s="256"/>
    </row>
    <row r="7" spans="1:23">
      <c r="A7" s="342"/>
      <c r="B7" s="265"/>
      <c r="C7" s="265"/>
      <c r="D7" s="265"/>
      <c r="E7" s="265"/>
      <c r="F7" s="265"/>
      <c r="G7" s="265"/>
      <c r="H7" s="265"/>
      <c r="I7" s="265"/>
      <c r="J7" s="265"/>
      <c r="K7" s="265"/>
      <c r="L7" s="507"/>
      <c r="M7" s="507"/>
      <c r="N7" s="265"/>
      <c r="O7" s="265"/>
      <c r="P7" s="265"/>
      <c r="Q7" s="265"/>
      <c r="R7" s="265"/>
      <c r="S7" s="265"/>
      <c r="T7" s="265"/>
      <c r="U7" s="256"/>
      <c r="V7" s="256"/>
      <c r="W7" s="256"/>
    </row>
    <row r="8" spans="1:23">
      <c r="A8" s="342"/>
      <c r="B8" s="265"/>
      <c r="C8" s="265"/>
      <c r="D8" s="265"/>
      <c r="E8" s="265"/>
      <c r="F8" s="265"/>
      <c r="G8" s="265"/>
      <c r="H8" s="265"/>
      <c r="I8" s="265"/>
      <c r="J8" s="265"/>
      <c r="K8" s="265"/>
      <c r="L8" s="265"/>
      <c r="M8" s="265"/>
      <c r="N8" s="265"/>
      <c r="O8" s="265"/>
      <c r="P8" s="265"/>
      <c r="Q8" s="265"/>
      <c r="R8" s="265"/>
      <c r="S8" s="265"/>
      <c r="T8" s="265"/>
      <c r="U8" s="256"/>
      <c r="V8" s="256"/>
      <c r="W8" s="256"/>
    </row>
    <row r="9" spans="1:23">
      <c r="A9" s="342"/>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42"/>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42"/>
      <c r="B11" s="276" t="s">
        <v>107</v>
      </c>
      <c r="C11" s="277" t="s">
        <v>163</v>
      </c>
      <c r="D11" s="316">
        <f t="shared" ref="D11:H11" si="0">D69/D$96</f>
        <v>5.2833944000000001E-2</v>
      </c>
      <c r="E11" s="316">
        <f t="shared" si="0"/>
        <v>5.5875458000000003E-2</v>
      </c>
      <c r="F11" s="316">
        <f t="shared" si="0"/>
        <v>5.5175427000000006E-2</v>
      </c>
      <c r="G11" s="316">
        <f t="shared" si="0"/>
        <v>5.5320261000000003E-2</v>
      </c>
      <c r="H11" s="316">
        <f t="shared" si="0"/>
        <v>5.5489234000000012E-2</v>
      </c>
      <c r="I11" s="278"/>
      <c r="J11" s="317">
        <f>AVERAGE(D69:INDEX(D69:H69,0,MATCH(Data!$B$3,$D$6:$H$6,0)))/AVERAGE($D$96:INDEX($D$96:$H$96,0,MATCH(Data!$B$3,$D$6:$H$6,0)))</f>
        <v>5.2833944000000001E-2</v>
      </c>
      <c r="K11" s="317">
        <f t="shared" ref="K11" si="1">AVERAGE(D69:H69)/AVERAGE($D$96:$H$96)</f>
        <v>5.4987911130173033E-2</v>
      </c>
      <c r="L11" s="504"/>
      <c r="M11" s="505"/>
      <c r="N11" s="278"/>
      <c r="O11" s="256"/>
      <c r="P11" s="256"/>
      <c r="Q11" s="256"/>
      <c r="R11" s="256"/>
      <c r="S11" s="256"/>
      <c r="T11" s="256"/>
      <c r="U11" s="256"/>
      <c r="V11" s="256"/>
      <c r="W11" s="256"/>
    </row>
    <row r="12" spans="1:23">
      <c r="A12" s="342"/>
      <c r="B12" s="276" t="s">
        <v>108</v>
      </c>
      <c r="C12" s="277" t="s">
        <v>163</v>
      </c>
      <c r="D12" s="316">
        <f t="shared" ref="D12:H21" si="2">D70/D$96</f>
        <v>-5.7391933887759742E-4</v>
      </c>
      <c r="E12" s="316">
        <f t="shared" si="2"/>
        <v>6.907797420805566E-3</v>
      </c>
      <c r="F12" s="316">
        <f t="shared" si="2"/>
        <v>2.556868697276535E-3</v>
      </c>
      <c r="G12" s="316">
        <f t="shared" si="2"/>
        <v>1.2377644947634248E-3</v>
      </c>
      <c r="H12" s="316">
        <f t="shared" si="2"/>
        <v>4.4745223209539248E-4</v>
      </c>
      <c r="I12" s="278"/>
      <c r="J12" s="317">
        <f>AVERAGE(D70:INDEX(D70:H70,0,MATCH(Data!$B$3,$D$6:$H$6,0)))/AVERAGE($D$96:INDEX($D$96:$H$96,0,MATCH(Data!$B$3,$D$6:$H$6,0)))</f>
        <v>-5.7391933887759742E-4</v>
      </c>
      <c r="K12" s="317">
        <f t="shared" ref="K12:K30" si="3">AVERAGE(D70:H70)/AVERAGE($D$96:$H$96)</f>
        <v>2.0656132433816807E-3</v>
      </c>
      <c r="L12" s="504"/>
      <c r="M12" s="505"/>
      <c r="N12" s="278"/>
      <c r="O12" s="256"/>
      <c r="P12" s="256"/>
      <c r="Q12" s="256"/>
      <c r="R12" s="256"/>
      <c r="S12" s="256"/>
      <c r="T12" s="256"/>
      <c r="U12" s="256"/>
      <c r="V12" s="256"/>
      <c r="W12" s="256"/>
    </row>
    <row r="13" spans="1:23">
      <c r="A13" s="342" t="s">
        <v>212</v>
      </c>
      <c r="B13" s="276" t="s">
        <v>109</v>
      </c>
      <c r="C13" s="277" t="s">
        <v>163</v>
      </c>
      <c r="D13" s="316">
        <f t="shared" si="2"/>
        <v>0</v>
      </c>
      <c r="E13" s="316">
        <f t="shared" si="2"/>
        <v>0</v>
      </c>
      <c r="F13" s="316">
        <f t="shared" si="2"/>
        <v>0</v>
      </c>
      <c r="G13" s="316">
        <f t="shared" si="2"/>
        <v>0</v>
      </c>
      <c r="H13" s="316">
        <f t="shared" si="2"/>
        <v>0</v>
      </c>
      <c r="I13" s="278"/>
      <c r="J13" s="317">
        <f>AVERAGE(D71:INDEX(D71:H71,0,MATCH(Data!$B$3,$D$6:$H$6,0)))/AVERAGE($D$96:INDEX($D$96:$H$96,0,MATCH(Data!$B$3,$D$6:$H$6,0)))</f>
        <v>0</v>
      </c>
      <c r="K13" s="317">
        <f t="shared" si="3"/>
        <v>0</v>
      </c>
      <c r="L13" s="504"/>
      <c r="M13" s="505"/>
      <c r="N13" s="278"/>
      <c r="O13" s="256"/>
      <c r="P13" s="256"/>
      <c r="Q13" s="256"/>
      <c r="R13" s="256"/>
      <c r="S13" s="256"/>
      <c r="T13" s="256"/>
      <c r="U13" s="256"/>
      <c r="V13" s="256"/>
      <c r="W13" s="256"/>
    </row>
    <row r="14" spans="1:23">
      <c r="A14" s="342" t="s">
        <v>213</v>
      </c>
      <c r="B14" s="276" t="s">
        <v>110</v>
      </c>
      <c r="C14" s="277" t="s">
        <v>163</v>
      </c>
      <c r="D14" s="316">
        <f t="shared" si="2"/>
        <v>1.0920452136409205E-3</v>
      </c>
      <c r="E14" s="316">
        <f t="shared" si="2"/>
        <v>1.076677840479667E-3</v>
      </c>
      <c r="F14" s="316">
        <f t="shared" si="2"/>
        <v>1.2222785191306552E-3</v>
      </c>
      <c r="G14" s="316">
        <f t="shared" si="2"/>
        <v>1.2487226389303904E-3</v>
      </c>
      <c r="H14" s="316">
        <f t="shared" si="2"/>
        <v>1.2267385652597286E-3</v>
      </c>
      <c r="I14" s="278"/>
      <c r="J14" s="317">
        <f>AVERAGE(D72:INDEX(D72:H72,0,MATCH(Data!$B$3,$D$6:$H$6,0)))/AVERAGE($D$96:INDEX($D$96:$H$96,0,MATCH(Data!$B$3,$D$6:$H$6,0)))</f>
        <v>1.0920452136409205E-3</v>
      </c>
      <c r="K14" s="317">
        <f t="shared" si="3"/>
        <v>1.1781084950399842E-3</v>
      </c>
      <c r="L14" s="504"/>
      <c r="M14" s="505"/>
      <c r="N14" s="278"/>
      <c r="O14" s="256"/>
      <c r="P14" s="256"/>
      <c r="Q14" s="256"/>
      <c r="R14" s="256"/>
      <c r="S14" s="256"/>
      <c r="T14" s="256"/>
      <c r="U14" s="256"/>
      <c r="V14" s="256"/>
      <c r="W14" s="256"/>
    </row>
    <row r="15" spans="1:23">
      <c r="A15" s="342" t="s">
        <v>214</v>
      </c>
      <c r="B15" s="276" t="s">
        <v>111</v>
      </c>
      <c r="C15" s="277" t="s">
        <v>163</v>
      </c>
      <c r="D15" s="316">
        <f t="shared" si="2"/>
        <v>1.4450326731380808E-3</v>
      </c>
      <c r="E15" s="316">
        <f t="shared" si="2"/>
        <v>2.1338643900713221E-3</v>
      </c>
      <c r="F15" s="316">
        <f t="shared" si="2"/>
        <v>2.612747070915836E-3</v>
      </c>
      <c r="G15" s="316">
        <f t="shared" si="2"/>
        <v>2.802062505158436E-3</v>
      </c>
      <c r="H15" s="316">
        <f t="shared" si="2"/>
        <v>2.7517796103562584E-3</v>
      </c>
      <c r="I15" s="278"/>
      <c r="J15" s="317">
        <f>AVERAGE(D73:INDEX(D73:H73,0,MATCH(Data!$B$3,$D$6:$H$6,0)))/AVERAGE($D$96:INDEX($D$96:$H$96,0,MATCH(Data!$B$3,$D$6:$H$6,0)))</f>
        <v>1.4450326731380808E-3</v>
      </c>
      <c r="K15" s="317">
        <f t="shared" si="3"/>
        <v>2.3842384898093358E-3</v>
      </c>
      <c r="L15" s="504"/>
      <c r="M15" s="505"/>
      <c r="N15" s="278"/>
      <c r="O15" s="256"/>
      <c r="P15" s="256"/>
      <c r="Q15" s="256"/>
      <c r="R15" s="256"/>
      <c r="S15" s="256"/>
      <c r="T15" s="256"/>
      <c r="U15" s="256"/>
      <c r="V15" s="256"/>
      <c r="W15" s="256"/>
    </row>
    <row r="16" spans="1:23">
      <c r="A16" s="342" t="s">
        <v>215</v>
      </c>
      <c r="B16" s="276" t="s">
        <v>112</v>
      </c>
      <c r="C16" s="277" t="s">
        <v>163</v>
      </c>
      <c r="D16" s="316">
        <f t="shared" si="2"/>
        <v>1.0895394873630133E-3</v>
      </c>
      <c r="E16" s="316">
        <f t="shared" si="2"/>
        <v>2.367026646840339E-3</v>
      </c>
      <c r="F16" s="316">
        <f t="shared" si="2"/>
        <v>2.5134428328138056E-3</v>
      </c>
      <c r="G16" s="316">
        <f t="shared" si="2"/>
        <v>2.6690618028847399E-3</v>
      </c>
      <c r="H16" s="316">
        <f t="shared" si="2"/>
        <v>2.9303000771621242E-3</v>
      </c>
      <c r="I16" s="278"/>
      <c r="J16" s="317">
        <f>AVERAGE(D74:INDEX(D74:H74,0,MATCH(Data!$B$3,$D$6:$H$6,0)))/AVERAGE($D$96:INDEX($D$96:$H$96,0,MATCH(Data!$B$3,$D$6:$H$6,0)))</f>
        <v>1.0895394873630133E-3</v>
      </c>
      <c r="K16" s="317">
        <f t="shared" si="3"/>
        <v>2.3564402974988411E-3</v>
      </c>
      <c r="L16" s="504"/>
      <c r="M16" s="505"/>
      <c r="N16" s="278"/>
      <c r="O16" s="256"/>
      <c r="P16" s="256"/>
      <c r="Q16" s="256"/>
      <c r="R16" s="256"/>
      <c r="S16" s="256"/>
      <c r="T16" s="256"/>
      <c r="U16" s="256"/>
      <c r="V16" s="256"/>
      <c r="W16" s="256"/>
    </row>
    <row r="17" spans="1:23">
      <c r="A17" s="342" t="s">
        <v>216</v>
      </c>
      <c r="B17" s="276" t="s">
        <v>113</v>
      </c>
      <c r="C17" s="277" t="s">
        <v>163</v>
      </c>
      <c r="D17" s="316">
        <f t="shared" si="2"/>
        <v>0</v>
      </c>
      <c r="E17" s="316">
        <f t="shared" si="2"/>
        <v>0</v>
      </c>
      <c r="F17" s="316">
        <f t="shared" si="2"/>
        <v>0</v>
      </c>
      <c r="G17" s="316">
        <f t="shared" si="2"/>
        <v>0</v>
      </c>
      <c r="H17" s="316">
        <f t="shared" si="2"/>
        <v>0</v>
      </c>
      <c r="I17" s="278"/>
      <c r="J17" s="317">
        <f>AVERAGE(D75:INDEX(D75:H75,0,MATCH(Data!$B$3,$D$6:$H$6,0)))/AVERAGE($D$96:INDEX($D$96:$H$96,0,MATCH(Data!$B$3,$D$6:$H$6,0)))</f>
        <v>0</v>
      </c>
      <c r="K17" s="317">
        <f t="shared" si="3"/>
        <v>0</v>
      </c>
      <c r="L17" s="504"/>
      <c r="M17" s="505"/>
      <c r="N17" s="256"/>
      <c r="O17" s="256"/>
      <c r="P17" s="256"/>
      <c r="Q17" s="256"/>
      <c r="R17" s="256"/>
      <c r="S17" s="256"/>
      <c r="T17" s="256"/>
      <c r="U17" s="256"/>
      <c r="V17" s="256"/>
      <c r="W17" s="256"/>
    </row>
    <row r="18" spans="1:23">
      <c r="A18" s="342" t="s">
        <v>217</v>
      </c>
      <c r="B18" s="276" t="s">
        <v>114</v>
      </c>
      <c r="C18" s="277" t="s">
        <v>163</v>
      </c>
      <c r="D18" s="316">
        <f t="shared" si="2"/>
        <v>0</v>
      </c>
      <c r="E18" s="316">
        <f t="shared" si="2"/>
        <v>2.1709837088462552E-3</v>
      </c>
      <c r="F18" s="316">
        <f t="shared" si="2"/>
        <v>0</v>
      </c>
      <c r="G18" s="316">
        <f t="shared" si="2"/>
        <v>0</v>
      </c>
      <c r="H18" s="316">
        <f t="shared" si="2"/>
        <v>2.9962522385698145E-3</v>
      </c>
      <c r="I18" s="278"/>
      <c r="J18" s="317">
        <f>AVERAGE(D76:INDEX(D76:H76,0,MATCH(Data!$B$3,$D$6:$H$6,0)))/AVERAGE($D$96:INDEX($D$96:$H$96,0,MATCH(Data!$B$3,$D$6:$H$6,0)))</f>
        <v>0</v>
      </c>
      <c r="K18" s="317">
        <f t="shared" si="3"/>
        <v>1.076901441725188E-3</v>
      </c>
      <c r="L18" s="504"/>
      <c r="M18" s="505"/>
      <c r="N18" s="256"/>
      <c r="O18" s="256"/>
      <c r="P18" s="256"/>
      <c r="Q18" s="256"/>
      <c r="R18" s="256"/>
      <c r="S18" s="256"/>
      <c r="T18" s="256"/>
      <c r="U18" s="256"/>
      <c r="V18" s="256"/>
      <c r="W18" s="256"/>
    </row>
    <row r="19" spans="1:23">
      <c r="A19" s="342" t="s">
        <v>218</v>
      </c>
      <c r="B19" s="276" t="s">
        <v>115</v>
      </c>
      <c r="C19" s="277" t="s">
        <v>163</v>
      </c>
      <c r="D19" s="316">
        <f t="shared" si="2"/>
        <v>2.3339770655717736E-4</v>
      </c>
      <c r="E19" s="316">
        <f t="shared" si="2"/>
        <v>1.4118021275596469E-3</v>
      </c>
      <c r="F19" s="316">
        <f t="shared" si="2"/>
        <v>1.7738353044422822E-3</v>
      </c>
      <c r="G19" s="316">
        <f t="shared" si="2"/>
        <v>1.8909716012129919E-3</v>
      </c>
      <c r="H19" s="316">
        <f t="shared" si="2"/>
        <v>2.2720352620823957E-3</v>
      </c>
      <c r="I19" s="278"/>
      <c r="J19" s="317">
        <f>AVERAGE(D77:INDEX(D77:H77,0,MATCH(Data!$B$3,$D$6:$H$6,0)))/AVERAGE($D$96:INDEX($D$96:$H$96,0,MATCH(Data!$B$3,$D$6:$H$6,0)))</f>
        <v>2.3339770655717736E-4</v>
      </c>
      <c r="K19" s="317">
        <f t="shared" si="3"/>
        <v>1.5654213764450639E-3</v>
      </c>
      <c r="L19" s="504"/>
      <c r="M19" s="505"/>
      <c r="N19" s="256"/>
      <c r="O19" s="256"/>
      <c r="P19" s="256"/>
      <c r="Q19" s="256"/>
      <c r="R19" s="256"/>
      <c r="S19" s="256"/>
      <c r="T19" s="256"/>
      <c r="U19" s="256"/>
      <c r="V19" s="256"/>
      <c r="W19" s="256"/>
    </row>
    <row r="20" spans="1:23">
      <c r="A20" s="342" t="s">
        <v>230</v>
      </c>
      <c r="B20" s="276" t="s">
        <v>116</v>
      </c>
      <c r="C20" s="277" t="s">
        <v>163</v>
      </c>
      <c r="D20" s="316">
        <f t="shared" si="2"/>
        <v>4.9270791156735448E-4</v>
      </c>
      <c r="E20" s="316">
        <f t="shared" si="2"/>
        <v>7.0338896035000199E-4</v>
      </c>
      <c r="F20" s="316">
        <f t="shared" si="2"/>
        <v>7.7642432212308478E-4</v>
      </c>
      <c r="G20" s="316">
        <f t="shared" si="2"/>
        <v>8.3744096218210738E-4</v>
      </c>
      <c r="H20" s="316">
        <f t="shared" si="2"/>
        <v>7.9078184522989438E-4</v>
      </c>
      <c r="I20" s="278"/>
      <c r="J20" s="317">
        <f>AVERAGE(D78:INDEX(D78:H78,0,MATCH(Data!$B$3,$D$6:$H$6,0)))/AVERAGE($D$96:INDEX($D$96:$H$96,0,MATCH(Data!$B$3,$D$6:$H$6,0)))</f>
        <v>4.9270791156735448E-4</v>
      </c>
      <c r="K20" s="317">
        <f t="shared" si="3"/>
        <v>7.278839868337752E-4</v>
      </c>
      <c r="L20" s="504"/>
      <c r="M20" s="505"/>
      <c r="N20" s="256"/>
      <c r="O20" s="256"/>
      <c r="P20" s="256"/>
      <c r="Q20" s="256"/>
      <c r="R20" s="256"/>
      <c r="S20" s="256"/>
      <c r="T20" s="256"/>
      <c r="U20" s="256"/>
      <c r="V20" s="256"/>
      <c r="W20" s="256"/>
    </row>
    <row r="21" spans="1:23">
      <c r="A21" s="342" t="s">
        <v>219</v>
      </c>
      <c r="B21" s="276" t="s">
        <v>117</v>
      </c>
      <c r="C21" s="277" t="s">
        <v>163</v>
      </c>
      <c r="D21" s="316">
        <f t="shared" si="2"/>
        <v>0</v>
      </c>
      <c r="E21" s="316">
        <f t="shared" si="2"/>
        <v>0</v>
      </c>
      <c r="F21" s="316">
        <f t="shared" si="2"/>
        <v>0</v>
      </c>
      <c r="G21" s="316">
        <f t="shared" si="2"/>
        <v>0</v>
      </c>
      <c r="H21" s="316">
        <f t="shared" si="2"/>
        <v>0</v>
      </c>
      <c r="I21" s="278"/>
      <c r="J21" s="317">
        <f>AVERAGE(D79:INDEX(D79:H79,0,MATCH(Data!$B$3,$D$6:$H$6,0)))/AVERAGE($D$96:INDEX($D$96:$H$96,0,MATCH(Data!$B$3,$D$6:$H$6,0)))</f>
        <v>0</v>
      </c>
      <c r="K21" s="317">
        <f t="shared" si="3"/>
        <v>0</v>
      </c>
      <c r="L21" s="504"/>
      <c r="M21" s="505"/>
      <c r="N21" s="256"/>
      <c r="O21" s="256"/>
      <c r="P21" s="256"/>
      <c r="Q21" s="256"/>
      <c r="R21" s="256"/>
      <c r="S21" s="256"/>
      <c r="T21" s="256"/>
      <c r="U21" s="256"/>
      <c r="V21" s="256"/>
      <c r="W21" s="256"/>
    </row>
    <row r="22" spans="1:23">
      <c r="A22" s="342" t="s">
        <v>219</v>
      </c>
      <c r="B22" s="276" t="s">
        <v>118</v>
      </c>
      <c r="C22" s="277" t="s">
        <v>163</v>
      </c>
      <c r="D22" s="316">
        <f t="shared" ref="D22:H30" si="4">D80/D$96</f>
        <v>0</v>
      </c>
      <c r="E22" s="316">
        <f t="shared" si="4"/>
        <v>-2.7908272865587663E-4</v>
      </c>
      <c r="F22" s="316">
        <f t="shared" si="4"/>
        <v>-2.6405217835468771E-4</v>
      </c>
      <c r="G22" s="316">
        <f t="shared" si="4"/>
        <v>-2.4920277611873158E-4</v>
      </c>
      <c r="H22" s="316">
        <f t="shared" si="4"/>
        <v>-2.3531811797466106E-4</v>
      </c>
      <c r="I22" s="278"/>
      <c r="J22" s="317">
        <f>AVERAGE(D80:INDEX(D80:H80,0,MATCH(Data!$B$3,$D$6:$H$6,0)))/AVERAGE($D$96:INDEX($D$96:$H$96,0,MATCH(Data!$B$3,$D$6:$H$6,0)))</f>
        <v>0</v>
      </c>
      <c r="K22" s="317">
        <f t="shared" si="3"/>
        <v>-2.1000653350693334E-4</v>
      </c>
      <c r="L22" s="504"/>
      <c r="M22" s="505"/>
      <c r="N22" s="256"/>
      <c r="O22" s="256"/>
      <c r="P22" s="256"/>
      <c r="Q22" s="256"/>
      <c r="R22" s="256"/>
      <c r="S22" s="256"/>
      <c r="T22" s="256"/>
      <c r="U22" s="256"/>
      <c r="V22" s="256"/>
      <c r="W22" s="256"/>
    </row>
    <row r="23" spans="1:23">
      <c r="A23" s="342" t="s">
        <v>220</v>
      </c>
      <c r="B23" s="276" t="s">
        <v>119</v>
      </c>
      <c r="C23" s="277" t="s">
        <v>163</v>
      </c>
      <c r="D23" s="316">
        <f t="shared" si="4"/>
        <v>-7.4313966107822192E-5</v>
      </c>
      <c r="E23" s="316">
        <f t="shared" si="4"/>
        <v>0</v>
      </c>
      <c r="F23" s="316">
        <f t="shared" si="4"/>
        <v>0</v>
      </c>
      <c r="G23" s="316">
        <f t="shared" si="4"/>
        <v>0</v>
      </c>
      <c r="H23" s="316">
        <f t="shared" si="4"/>
        <v>0</v>
      </c>
      <c r="I23" s="278"/>
      <c r="J23" s="317">
        <f>AVERAGE(D81:INDEX(D81:H81,0,MATCH(Data!$B$3,$D$6:$H$6,0)))/AVERAGE($D$96:INDEX($D$96:$H$96,0,MATCH(Data!$B$3,$D$6:$H$6,0)))</f>
        <v>-7.4313966107822192E-5</v>
      </c>
      <c r="K23" s="317">
        <f t="shared" si="3"/>
        <v>-1.3321507414330686E-5</v>
      </c>
      <c r="L23" s="504"/>
      <c r="M23" s="505"/>
      <c r="N23" s="256"/>
      <c r="O23" s="256"/>
      <c r="P23" s="256"/>
      <c r="Q23" s="256"/>
      <c r="R23" s="256"/>
      <c r="S23" s="256"/>
      <c r="T23" s="256"/>
      <c r="U23" s="256"/>
      <c r="V23" s="256"/>
      <c r="W23" s="256"/>
    </row>
    <row r="24" spans="1:23">
      <c r="A24" s="342" t="s">
        <v>221</v>
      </c>
      <c r="B24" s="276" t="s">
        <v>120</v>
      </c>
      <c r="C24" s="277" t="s">
        <v>163</v>
      </c>
      <c r="D24" s="316">
        <f t="shared" si="4"/>
        <v>-3.2240996982850168E-5</v>
      </c>
      <c r="E24" s="316">
        <f t="shared" si="4"/>
        <v>0</v>
      </c>
      <c r="F24" s="316">
        <f t="shared" si="4"/>
        <v>0</v>
      </c>
      <c r="G24" s="316">
        <f t="shared" si="4"/>
        <v>0</v>
      </c>
      <c r="H24" s="316">
        <f t="shared" si="4"/>
        <v>0</v>
      </c>
      <c r="I24" s="278"/>
      <c r="J24" s="317">
        <f>AVERAGE(D82:INDEX(D82:H82,0,MATCH(Data!$B$3,$D$6:$H$6,0)))/AVERAGE($D$96:INDEX($D$96:$H$96,0,MATCH(Data!$B$3,$D$6:$H$6,0)))</f>
        <v>-3.2240996982850168E-5</v>
      </c>
      <c r="K24" s="317">
        <f t="shared" si="3"/>
        <v>-5.7795149801221998E-6</v>
      </c>
      <c r="L24" s="504"/>
      <c r="M24" s="505"/>
      <c r="N24" s="256"/>
      <c r="O24" s="256"/>
      <c r="P24" s="256"/>
      <c r="Q24" s="256"/>
      <c r="R24" s="256"/>
      <c r="S24" s="256"/>
      <c r="T24" s="256"/>
      <c r="U24" s="256"/>
      <c r="V24" s="256"/>
      <c r="W24" s="256"/>
    </row>
    <row r="25" spans="1:23">
      <c r="A25" s="342" t="s">
        <v>222</v>
      </c>
      <c r="B25" s="276">
        <v>0</v>
      </c>
      <c r="C25" s="277" t="s">
        <v>163</v>
      </c>
      <c r="D25" s="316">
        <f t="shared" si="4"/>
        <v>0</v>
      </c>
      <c r="E25" s="316">
        <f t="shared" si="4"/>
        <v>0</v>
      </c>
      <c r="F25" s="316">
        <f t="shared" si="4"/>
        <v>0</v>
      </c>
      <c r="G25" s="316">
        <f t="shared" si="4"/>
        <v>0</v>
      </c>
      <c r="H25" s="316">
        <f t="shared" si="4"/>
        <v>0</v>
      </c>
      <c r="I25" s="278"/>
      <c r="J25" s="317">
        <f>AVERAGE(D83:INDEX(D83:H83,0,MATCH(Data!$B$3,$D$6:$H$6,0)))/AVERAGE($D$96:INDEX($D$96:$H$96,0,MATCH(Data!$B$3,$D$6:$H$6,0)))</f>
        <v>0</v>
      </c>
      <c r="K25" s="317">
        <f t="shared" si="3"/>
        <v>0</v>
      </c>
      <c r="L25" s="504"/>
      <c r="M25" s="505"/>
      <c r="N25" s="256"/>
      <c r="O25" s="256"/>
      <c r="P25" s="256"/>
      <c r="Q25" s="256"/>
      <c r="R25" s="256"/>
      <c r="S25" s="256"/>
      <c r="T25" s="256"/>
      <c r="U25" s="256"/>
      <c r="V25" s="256"/>
      <c r="W25" s="256"/>
    </row>
    <row r="26" spans="1:23">
      <c r="A26" s="342" t="s">
        <v>223</v>
      </c>
      <c r="B26" s="276">
        <v>0</v>
      </c>
      <c r="C26" s="277" t="s">
        <v>163</v>
      </c>
      <c r="D26" s="316">
        <f t="shared" si="4"/>
        <v>0</v>
      </c>
      <c r="E26" s="316">
        <f t="shared" si="4"/>
        <v>0</v>
      </c>
      <c r="F26" s="316">
        <f t="shared" si="4"/>
        <v>0</v>
      </c>
      <c r="G26" s="316">
        <f t="shared" si="4"/>
        <v>0</v>
      </c>
      <c r="H26" s="316">
        <f t="shared" si="4"/>
        <v>0</v>
      </c>
      <c r="I26" s="278"/>
      <c r="J26" s="317">
        <f>AVERAGE(D84:INDEX(D84:H84,0,MATCH(Data!$B$3,$D$6:$H$6,0)))/AVERAGE($D$96:INDEX($D$96:$H$96,0,MATCH(Data!$B$3,$D$6:$H$6,0)))</f>
        <v>0</v>
      </c>
      <c r="K26" s="317">
        <f t="shared" si="3"/>
        <v>0</v>
      </c>
      <c r="L26" s="504"/>
      <c r="M26" s="505"/>
      <c r="N26" s="256"/>
      <c r="O26" s="256"/>
      <c r="P26" s="256"/>
      <c r="Q26" s="256"/>
      <c r="R26" s="256"/>
      <c r="S26" s="256"/>
      <c r="T26" s="256"/>
      <c r="U26" s="256"/>
      <c r="V26" s="256"/>
      <c r="W26" s="256"/>
    </row>
    <row r="27" spans="1:23">
      <c r="A27" s="342" t="s">
        <v>224</v>
      </c>
      <c r="B27" s="276">
        <v>0</v>
      </c>
      <c r="C27" s="277" t="s">
        <v>163</v>
      </c>
      <c r="D27" s="316">
        <f t="shared" si="4"/>
        <v>0</v>
      </c>
      <c r="E27" s="316">
        <f t="shared" si="4"/>
        <v>0</v>
      </c>
      <c r="F27" s="316">
        <f t="shared" si="4"/>
        <v>0</v>
      </c>
      <c r="G27" s="316">
        <f t="shared" si="4"/>
        <v>0</v>
      </c>
      <c r="H27" s="316">
        <f t="shared" si="4"/>
        <v>0</v>
      </c>
      <c r="I27" s="278"/>
      <c r="J27" s="317">
        <f>AVERAGE(D85:INDEX(D85:H85,0,MATCH(Data!$B$3,$D$6:$H$6,0)))/AVERAGE($D$96:INDEX($D$96:$H$96,0,MATCH(Data!$B$3,$D$6:$H$6,0)))</f>
        <v>0</v>
      </c>
      <c r="K27" s="317">
        <f t="shared" si="3"/>
        <v>0</v>
      </c>
      <c r="L27" s="504"/>
      <c r="M27" s="505"/>
      <c r="N27" s="256"/>
      <c r="O27" s="256"/>
      <c r="P27" s="256"/>
      <c r="Q27" s="256"/>
      <c r="R27" s="256"/>
      <c r="S27" s="256"/>
      <c r="T27" s="256"/>
      <c r="U27" s="256"/>
      <c r="V27" s="256"/>
      <c r="W27" s="256"/>
    </row>
    <row r="28" spans="1:23">
      <c r="A28" s="342" t="s">
        <v>225</v>
      </c>
      <c r="B28" s="276">
        <v>0</v>
      </c>
      <c r="C28" s="277" t="s">
        <v>163</v>
      </c>
      <c r="D28" s="316">
        <f t="shared" si="4"/>
        <v>0</v>
      </c>
      <c r="E28" s="316">
        <f t="shared" si="4"/>
        <v>0</v>
      </c>
      <c r="F28" s="316">
        <f t="shared" si="4"/>
        <v>0</v>
      </c>
      <c r="G28" s="316">
        <f t="shared" si="4"/>
        <v>0</v>
      </c>
      <c r="H28" s="316">
        <f t="shared" si="4"/>
        <v>0</v>
      </c>
      <c r="I28" s="278"/>
      <c r="J28" s="317">
        <f>AVERAGE(D86:INDEX(D86:H86,0,MATCH(Data!$B$3,$D$6:$H$6,0)))/AVERAGE($D$96:INDEX($D$96:$H$96,0,MATCH(Data!$B$3,$D$6:$H$6,0)))</f>
        <v>0</v>
      </c>
      <c r="K28" s="317">
        <f t="shared" si="3"/>
        <v>0</v>
      </c>
      <c r="L28" s="268"/>
      <c r="M28" s="256"/>
      <c r="N28" s="256"/>
      <c r="O28" s="256"/>
      <c r="P28" s="256"/>
      <c r="Q28" s="256"/>
      <c r="R28" s="256"/>
      <c r="S28" s="256"/>
      <c r="T28" s="256"/>
      <c r="U28" s="256"/>
      <c r="V28" s="256"/>
      <c r="W28" s="256"/>
    </row>
    <row r="29" spans="1:23">
      <c r="A29" s="342" t="s">
        <v>226</v>
      </c>
      <c r="B29" s="276">
        <v>0</v>
      </c>
      <c r="C29" s="277" t="s">
        <v>163</v>
      </c>
      <c r="D29" s="316">
        <f t="shared" si="4"/>
        <v>0</v>
      </c>
      <c r="E29" s="316">
        <f t="shared" si="4"/>
        <v>0</v>
      </c>
      <c r="F29" s="316">
        <f t="shared" si="4"/>
        <v>0</v>
      </c>
      <c r="G29" s="316">
        <f t="shared" si="4"/>
        <v>0</v>
      </c>
      <c r="H29" s="316">
        <f t="shared" si="4"/>
        <v>0</v>
      </c>
      <c r="I29" s="278"/>
      <c r="J29" s="317">
        <f>AVERAGE(D87:INDEX(D87:H87,0,MATCH(Data!$B$3,$D$6:$H$6,0)))/AVERAGE($D$96:INDEX($D$96:$H$96,0,MATCH(Data!$B$3,$D$6:$H$6,0)))</f>
        <v>0</v>
      </c>
      <c r="K29" s="317">
        <f t="shared" si="3"/>
        <v>0</v>
      </c>
      <c r="L29" s="268"/>
      <c r="M29" s="256"/>
      <c r="N29" s="256"/>
      <c r="O29" s="256"/>
      <c r="P29" s="256"/>
      <c r="Q29" s="256"/>
      <c r="R29" s="256"/>
      <c r="S29" s="256"/>
      <c r="T29" s="256"/>
      <c r="U29" s="256"/>
      <c r="V29" s="256"/>
      <c r="W29" s="256"/>
    </row>
    <row r="30" spans="1:23">
      <c r="A30" s="342"/>
      <c r="B30" s="276" t="s">
        <v>121</v>
      </c>
      <c r="C30" s="277" t="s">
        <v>163</v>
      </c>
      <c r="D30" s="316">
        <f t="shared" si="4"/>
        <v>-4.8881111592940661E-4</v>
      </c>
      <c r="E30" s="316">
        <f t="shared" si="4"/>
        <v>0</v>
      </c>
      <c r="F30" s="316">
        <f t="shared" si="4"/>
        <v>0</v>
      </c>
      <c r="G30" s="316">
        <f t="shared" si="4"/>
        <v>0</v>
      </c>
      <c r="H30" s="316">
        <f t="shared" si="4"/>
        <v>0</v>
      </c>
      <c r="I30" s="278"/>
      <c r="J30" s="317">
        <f>AVERAGE(D88:INDEX(D88:H88,0,MATCH(Data!$B$3,$D$6:$H$6,0)))/AVERAGE($D$96:INDEX($D$96:$H$96,0,MATCH(Data!$B$3,$D$6:$H$6,0)))</f>
        <v>-4.8881111592940661E-4</v>
      </c>
      <c r="K30" s="317">
        <f t="shared" si="3"/>
        <v>-8.7624187566749079E-5</v>
      </c>
      <c r="L30" s="504"/>
      <c r="M30" s="505"/>
      <c r="N30" s="256"/>
      <c r="O30" s="256"/>
      <c r="P30" s="256"/>
      <c r="Q30" s="256"/>
      <c r="R30" s="256"/>
      <c r="S30" s="256"/>
      <c r="T30" s="256"/>
      <c r="U30" s="256"/>
      <c r="V30" s="256"/>
      <c r="W30" s="256"/>
    </row>
    <row r="31" spans="1:23">
      <c r="A31" s="342"/>
      <c r="B31" s="279" t="s">
        <v>122</v>
      </c>
      <c r="C31" s="281" t="s">
        <v>163</v>
      </c>
      <c r="D31" s="321">
        <f>SUM(D11:D30)</f>
        <v>5.6017381574368856E-2</v>
      </c>
      <c r="E31" s="321">
        <f>SUM(E11:E30)</f>
        <v>7.2367916366296942E-2</v>
      </c>
      <c r="F31" s="321">
        <f>SUM(F11:F30)</f>
        <v>6.6366971568347505E-2</v>
      </c>
      <c r="G31" s="321">
        <f>SUM(G11:G30)</f>
        <v>6.5757082229013358E-2</v>
      </c>
      <c r="H31" s="321">
        <f>SUM(H11:H30)</f>
        <v>6.8669255712780958E-2</v>
      </c>
      <c r="I31" s="287"/>
      <c r="J31" s="151">
        <f>SUM(J11:J30)</f>
        <v>5.6017381574368856E-2</v>
      </c>
      <c r="K31" s="151">
        <f>SUM(K11:K30)</f>
        <v>6.6025786717438778E-2</v>
      </c>
      <c r="L31" s="514"/>
      <c r="M31" s="505"/>
      <c r="N31" s="256"/>
      <c r="O31" s="256"/>
      <c r="P31" s="256"/>
      <c r="Q31" s="256"/>
      <c r="R31" s="256"/>
      <c r="S31" s="256"/>
      <c r="T31" s="256"/>
      <c r="U31" s="256"/>
      <c r="V31" s="256"/>
      <c r="W31" s="256"/>
    </row>
    <row r="32" spans="1:23">
      <c r="A32" s="342"/>
      <c r="B32" s="276" t="s">
        <v>123</v>
      </c>
      <c r="C32" s="277" t="s">
        <v>163</v>
      </c>
      <c r="D32" s="316">
        <f t="shared" ref="D32:H32" si="5">D90/D$96</f>
        <v>4.7788356717042534E-2</v>
      </c>
      <c r="E32" s="316">
        <f t="shared" si="5"/>
        <v>-8.806486971142417E-3</v>
      </c>
      <c r="F32" s="316">
        <f t="shared" si="5"/>
        <v>-1.7417601723606159E-2</v>
      </c>
      <c r="G32" s="316">
        <f t="shared" si="5"/>
        <v>-9.0106690999148097E-3</v>
      </c>
      <c r="H32" s="316">
        <f t="shared" si="5"/>
        <v>-1.0630692580700648E-2</v>
      </c>
      <c r="I32" s="194"/>
      <c r="J32" s="317">
        <f>AVERAGE(D90:INDEX(D90:H90,0,MATCH(Data!$B$3,$D$6:$H$6,0)))/AVERAGE($D$96:INDEX($D$96:$H$96,0,MATCH(Data!$B$3,$D$6:$H$6,0)))</f>
        <v>4.7788356717042534E-2</v>
      </c>
      <c r="K32" s="285">
        <f>AVERAGE(D90:H90)/AVERAGE($D$96:$H$96)</f>
        <v>-8.2347232180581063E-4</v>
      </c>
      <c r="L32" s="504"/>
      <c r="M32" s="505"/>
      <c r="N32" s="256"/>
      <c r="O32" s="256"/>
      <c r="P32" s="256"/>
      <c r="Q32" s="256"/>
      <c r="R32" s="256"/>
      <c r="S32" s="256"/>
      <c r="T32" s="256"/>
      <c r="U32" s="256"/>
      <c r="V32" s="256"/>
      <c r="W32" s="256"/>
    </row>
    <row r="33" spans="1:23">
      <c r="A33" s="342"/>
      <c r="B33" s="276" t="s">
        <v>124</v>
      </c>
      <c r="C33" s="277" t="s">
        <v>163</v>
      </c>
      <c r="D33" s="316">
        <f>D92/D$96</f>
        <v>3.9045490301135395E-3</v>
      </c>
      <c r="E33" s="316">
        <f t="shared" ref="E33:H33" si="6">E92/E$96</f>
        <v>4.9279059348418704E-3</v>
      </c>
      <c r="F33" s="316">
        <f t="shared" si="6"/>
        <v>2.4608716880465758E-3</v>
      </c>
      <c r="G33" s="316">
        <f t="shared" si="6"/>
        <v>-1.5342660801652015E-4</v>
      </c>
      <c r="H33" s="316">
        <f t="shared" si="6"/>
        <v>2.2738305803559215E-4</v>
      </c>
      <c r="I33" s="194"/>
      <c r="J33" s="317">
        <f>AVERAGE(D92:INDEX(D92:H92,0,MATCH(Data!$B$3,$D$6:$H$6,0)))/AVERAGE($D$96:INDEX($D$96:$H$96,0,MATCH(Data!$B$3,$D$6:$H$6,0)))</f>
        <v>3.9045490301135395E-3</v>
      </c>
      <c r="K33" s="285">
        <f>AVERAGE(D92:H92)/AVERAGE($D$96:$H$96)</f>
        <v>2.1346807988295684E-3</v>
      </c>
      <c r="L33" s="504"/>
      <c r="M33" s="505"/>
      <c r="N33" s="256"/>
      <c r="O33" s="256"/>
      <c r="P33" s="256"/>
      <c r="Q33" s="256"/>
      <c r="R33" s="256"/>
      <c r="S33" s="256"/>
      <c r="T33" s="256"/>
      <c r="U33" s="256"/>
      <c r="V33" s="256"/>
      <c r="W33" s="256"/>
    </row>
    <row r="34" spans="1:23">
      <c r="A34" s="342"/>
      <c r="B34" s="279" t="s">
        <v>125</v>
      </c>
      <c r="C34" s="281" t="s">
        <v>163</v>
      </c>
      <c r="D34" s="322">
        <f>SUM(D31:D33)</f>
        <v>0.10771028732152493</v>
      </c>
      <c r="E34" s="322">
        <f>SUM(E31:E33)</f>
        <v>6.848933532999639E-2</v>
      </c>
      <c r="F34" s="322">
        <f>SUM(F31:F33)</f>
        <v>5.141024153278792E-2</v>
      </c>
      <c r="G34" s="322">
        <f>SUM(G31:G33)</f>
        <v>5.659298652108203E-2</v>
      </c>
      <c r="H34" s="322">
        <f>SUM(H31:H33)</f>
        <v>5.8265946190115901E-2</v>
      </c>
      <c r="I34" s="287"/>
      <c r="J34" s="151">
        <f>SUM(J31:J33)</f>
        <v>0.10771028732152493</v>
      </c>
      <c r="K34" s="323">
        <f>SUM(K31:K33)</f>
        <v>6.733699519446254E-2</v>
      </c>
      <c r="L34" s="514"/>
      <c r="M34" s="505"/>
      <c r="N34" s="256"/>
      <c r="O34" s="256"/>
      <c r="P34" s="256"/>
      <c r="Q34" s="256"/>
      <c r="R34" s="256"/>
      <c r="S34" s="256"/>
      <c r="T34" s="256"/>
      <c r="U34" s="256"/>
      <c r="V34" s="256"/>
      <c r="W34" s="256"/>
    </row>
    <row r="35" spans="1:23">
      <c r="A35" s="342"/>
      <c r="B35" s="265"/>
      <c r="C35" s="256"/>
      <c r="D35" s="278"/>
      <c r="E35" s="278"/>
      <c r="F35" s="278"/>
      <c r="G35" s="278"/>
      <c r="H35" s="278"/>
      <c r="I35" s="278"/>
      <c r="J35" s="278"/>
      <c r="K35" s="278"/>
      <c r="L35" s="505"/>
      <c r="M35" s="505"/>
      <c r="N35" s="256"/>
      <c r="O35" s="256"/>
      <c r="P35" s="256"/>
      <c r="Q35" s="256"/>
      <c r="R35" s="256"/>
      <c r="S35" s="256"/>
      <c r="T35" s="256"/>
      <c r="U35" s="256"/>
      <c r="V35" s="256"/>
      <c r="W35" s="256"/>
    </row>
    <row r="36" spans="1:23">
      <c r="A36" s="342"/>
      <c r="B36" s="265"/>
      <c r="C36" s="256"/>
      <c r="D36" s="278"/>
      <c r="E36" s="278"/>
      <c r="F36" s="278"/>
      <c r="G36" s="278"/>
      <c r="H36" s="278"/>
      <c r="I36" s="518"/>
      <c r="J36" s="518"/>
      <c r="K36" s="278"/>
      <c r="L36" s="505"/>
      <c r="M36" s="505"/>
      <c r="N36" s="256"/>
      <c r="O36" s="256"/>
      <c r="P36" s="256"/>
      <c r="Q36" s="256"/>
      <c r="R36" s="256"/>
      <c r="S36" s="256"/>
      <c r="T36" s="256"/>
      <c r="U36" s="256"/>
      <c r="V36" s="256"/>
      <c r="W36" s="256"/>
    </row>
    <row r="37" spans="1:23">
      <c r="A37" s="342"/>
      <c r="B37" s="265"/>
      <c r="C37" s="256"/>
      <c r="D37" s="278"/>
      <c r="E37" s="278"/>
      <c r="F37" s="278"/>
      <c r="G37" s="278"/>
      <c r="H37" s="278"/>
      <c r="I37" s="518"/>
      <c r="J37" s="518"/>
      <c r="K37" s="278"/>
      <c r="L37" s="505"/>
      <c r="M37" s="505"/>
      <c r="N37" s="256"/>
      <c r="O37" s="256"/>
      <c r="P37" s="256"/>
      <c r="Q37" s="256"/>
      <c r="R37" s="256"/>
      <c r="S37" s="256"/>
      <c r="T37" s="256"/>
      <c r="U37" s="256"/>
      <c r="V37" s="256"/>
      <c r="W37" s="256"/>
    </row>
    <row r="38" spans="1:23">
      <c r="A38" s="342"/>
      <c r="B38" s="273" t="s">
        <v>57</v>
      </c>
      <c r="C38" s="274"/>
      <c r="D38" s="320"/>
      <c r="E38" s="320"/>
      <c r="F38" s="320"/>
      <c r="G38" s="320"/>
      <c r="H38" s="320"/>
      <c r="I38" s="519"/>
      <c r="J38" s="519"/>
      <c r="K38" s="320"/>
      <c r="L38" s="513"/>
      <c r="M38" s="513"/>
      <c r="N38" s="256"/>
      <c r="O38" s="256"/>
      <c r="P38" s="256"/>
      <c r="Q38" s="256"/>
      <c r="R38" s="256"/>
      <c r="S38" s="256"/>
      <c r="T38" s="256"/>
      <c r="U38" s="256"/>
      <c r="V38" s="256"/>
      <c r="W38" s="256"/>
    </row>
    <row r="39" spans="1:23">
      <c r="A39" s="342"/>
      <c r="B39" s="275"/>
      <c r="C39" s="256"/>
      <c r="D39" s="278"/>
      <c r="E39" s="278"/>
      <c r="F39" s="278"/>
      <c r="G39" s="278"/>
      <c r="H39" s="278"/>
      <c r="I39" s="515"/>
      <c r="J39" s="515"/>
      <c r="K39" s="278"/>
      <c r="L39" s="505"/>
      <c r="M39" s="505"/>
      <c r="N39" s="256"/>
      <c r="O39" s="256"/>
      <c r="P39" s="256"/>
      <c r="Q39" s="256"/>
      <c r="R39" s="256"/>
      <c r="S39" s="256"/>
      <c r="T39" s="256"/>
      <c r="U39" s="256"/>
      <c r="V39" s="256"/>
      <c r="W39" s="256"/>
    </row>
    <row r="40" spans="1:23">
      <c r="A40" s="342"/>
      <c r="B40" s="276" t="s">
        <v>107</v>
      </c>
      <c r="C40" s="277" t="s">
        <v>163</v>
      </c>
      <c r="D40" s="282">
        <f t="shared" ref="D40:D59" si="7">D69/D$97</f>
        <v>4.3906741723308551E-2</v>
      </c>
      <c r="E40" s="283">
        <f t="shared" ref="E40:H40" si="8">E69/E$97</f>
        <v>4.7876983208471856E-2</v>
      </c>
      <c r="F40" s="283">
        <f t="shared" si="8"/>
        <v>4.9238766270271433E-2</v>
      </c>
      <c r="G40" s="283">
        <f t="shared" si="8"/>
        <v>4.9708419422534011E-2</v>
      </c>
      <c r="H40" s="283">
        <f t="shared" si="8"/>
        <v>4.7503465701635245E-2</v>
      </c>
      <c r="I40" s="194"/>
      <c r="J40" s="284">
        <f>AVERAGE(D69:INDEX(D69:H69,0,MATCH(Data!$B$3,$D$6:$H$6,0)))/AVERAGE($D$97:INDEX($D$97:$H$97,0,MATCH(Data!$B$3,$D$6:$H$6,0)))</f>
        <v>4.3906741723308551E-2</v>
      </c>
      <c r="K40" s="285">
        <f t="shared" ref="K40" si="9">AVERAGE(D69:H69)/AVERAGE($D$97:$H$97)</f>
        <v>4.7685383859289616E-2</v>
      </c>
      <c r="L40" s="504"/>
      <c r="M40" s="505"/>
      <c r="N40" s="256"/>
      <c r="O40" s="256"/>
      <c r="P40" s="256"/>
      <c r="Q40" s="256"/>
      <c r="R40" s="256"/>
      <c r="S40" s="256"/>
      <c r="T40" s="256"/>
      <c r="U40" s="256"/>
      <c r="V40" s="256"/>
      <c r="W40" s="256"/>
    </row>
    <row r="41" spans="1:23">
      <c r="A41" s="342"/>
      <c r="B41" s="276" t="s">
        <v>108</v>
      </c>
      <c r="C41" s="277" t="s">
        <v>163</v>
      </c>
      <c r="D41" s="282">
        <f t="shared" si="7"/>
        <v>-4.7694580934769265E-4</v>
      </c>
      <c r="E41" s="283">
        <f t="shared" ref="E41:H59" si="10">E70/E$97</f>
        <v>5.9189582145963487E-3</v>
      </c>
      <c r="F41" s="283">
        <f t="shared" si="10"/>
        <v>2.2817595986882474E-3</v>
      </c>
      <c r="G41" s="283">
        <f t="shared" si="10"/>
        <v>1.1122022119892244E-3</v>
      </c>
      <c r="H41" s="283">
        <f t="shared" si="10"/>
        <v>3.8305686037157412E-4</v>
      </c>
      <c r="I41" s="194"/>
      <c r="J41" s="284">
        <f>AVERAGE(D70:INDEX(D70:H70,0,MATCH(Data!$B$3,$D$6:$H$6,0)))/AVERAGE($D$97:INDEX($D$97:$H$97,0,MATCH(Data!$B$3,$D$6:$H$6,0)))</f>
        <v>-4.7694580934769265E-4</v>
      </c>
      <c r="K41" s="285">
        <f t="shared" ref="K41:K59" si="11">AVERAGE(D70:H70)/AVERAGE($D$97:$H$97)</f>
        <v>1.7912948208254245E-3</v>
      </c>
      <c r="L41" s="504"/>
      <c r="M41" s="505"/>
      <c r="N41" s="256"/>
      <c r="O41" s="256"/>
      <c r="P41" s="256"/>
      <c r="Q41" s="256"/>
      <c r="R41" s="256"/>
      <c r="S41" s="256"/>
      <c r="T41" s="256"/>
      <c r="U41" s="256"/>
      <c r="V41" s="256"/>
      <c r="W41" s="256"/>
    </row>
    <row r="42" spans="1:23">
      <c r="A42" s="342" t="s">
        <v>212</v>
      </c>
      <c r="B42" s="276" t="s">
        <v>109</v>
      </c>
      <c r="C42" s="277" t="s">
        <v>163</v>
      </c>
      <c r="D42" s="282">
        <f t="shared" si="7"/>
        <v>0</v>
      </c>
      <c r="E42" s="283">
        <f t="shared" si="10"/>
        <v>0</v>
      </c>
      <c r="F42" s="283">
        <f t="shared" si="10"/>
        <v>0</v>
      </c>
      <c r="G42" s="283">
        <f t="shared" si="10"/>
        <v>0</v>
      </c>
      <c r="H42" s="283">
        <f t="shared" si="10"/>
        <v>0</v>
      </c>
      <c r="I42" s="194"/>
      <c r="J42" s="284">
        <f>AVERAGE(D71:INDEX(D71:H71,0,MATCH(Data!$B$3,$D$6:$H$6,0)))/AVERAGE($D$97:INDEX($D$97:$H$97,0,MATCH(Data!$B$3,$D$6:$H$6,0)))</f>
        <v>0</v>
      </c>
      <c r="K42" s="285">
        <f t="shared" si="11"/>
        <v>0</v>
      </c>
      <c r="L42" s="504"/>
      <c r="M42" s="505"/>
      <c r="N42" s="256"/>
      <c r="O42" s="256"/>
      <c r="P42" s="256"/>
      <c r="Q42" s="256"/>
      <c r="R42" s="256"/>
      <c r="S42" s="256"/>
      <c r="T42" s="256"/>
      <c r="U42" s="256"/>
      <c r="V42" s="256"/>
      <c r="W42" s="256"/>
    </row>
    <row r="43" spans="1:23">
      <c r="A43" s="342" t="s">
        <v>213</v>
      </c>
      <c r="B43" s="276" t="s">
        <v>110</v>
      </c>
      <c r="C43" s="277" t="s">
        <v>163</v>
      </c>
      <c r="D43" s="282">
        <f t="shared" si="7"/>
        <v>9.075254186117019E-4</v>
      </c>
      <c r="E43" s="283">
        <f t="shared" si="10"/>
        <v>9.2255327713964782E-4</v>
      </c>
      <c r="F43" s="283">
        <f t="shared" si="10"/>
        <v>1.090766118051933E-3</v>
      </c>
      <c r="G43" s="283">
        <f t="shared" si="10"/>
        <v>1.122048731446971E-3</v>
      </c>
      <c r="H43" s="283">
        <f t="shared" si="10"/>
        <v>1.0501917067315928E-3</v>
      </c>
      <c r="I43" s="194"/>
      <c r="J43" s="284">
        <f>AVERAGE(D72:INDEX(D72:H72,0,MATCH(Data!$B$3,$D$6:$H$6,0)))/AVERAGE($D$97:INDEX($D$97:$H$97,0,MATCH(Data!$B$3,$D$6:$H$6,0)))</f>
        <v>9.075254186117019E-4</v>
      </c>
      <c r="K43" s="285">
        <f t="shared" si="11"/>
        <v>1.0216528444021086E-3</v>
      </c>
      <c r="L43" s="504"/>
      <c r="M43" s="505"/>
      <c r="N43" s="256"/>
      <c r="O43" s="256"/>
      <c r="P43" s="256"/>
      <c r="Q43" s="256"/>
      <c r="R43" s="256"/>
      <c r="S43" s="256"/>
      <c r="T43" s="256"/>
      <c r="U43" s="256"/>
      <c r="V43" s="256"/>
      <c r="W43" s="256"/>
    </row>
    <row r="44" spans="1:23">
      <c r="A44" s="342" t="s">
        <v>214</v>
      </c>
      <c r="B44" s="276" t="s">
        <v>111</v>
      </c>
      <c r="C44" s="277" t="s">
        <v>163</v>
      </c>
      <c r="D44" s="282">
        <f t="shared" si="7"/>
        <v>1.2008695841676303E-3</v>
      </c>
      <c r="E44" s="283">
        <f t="shared" si="10"/>
        <v>1.8284054078375649E-3</v>
      </c>
      <c r="F44" s="283">
        <f t="shared" si="10"/>
        <v>2.3316256772813217E-3</v>
      </c>
      <c r="G44" s="283">
        <f t="shared" si="10"/>
        <v>2.5178134690031903E-3</v>
      </c>
      <c r="H44" s="283">
        <f t="shared" si="10"/>
        <v>2.3557555027524384E-3</v>
      </c>
      <c r="I44" s="194"/>
      <c r="J44" s="284">
        <f>AVERAGE(D73:INDEX(D73:H73,0,MATCH(Data!$B$3,$D$6:$H$6,0)))/AVERAGE($D$97:INDEX($D$97:$H$97,0,MATCH(Data!$B$3,$D$6:$H$6,0)))</f>
        <v>1.2008695841676303E-3</v>
      </c>
      <c r="K44" s="285">
        <f t="shared" si="11"/>
        <v>2.0676058657602869E-3</v>
      </c>
      <c r="L44" s="504"/>
      <c r="M44" s="505"/>
      <c r="N44" s="256"/>
      <c r="O44" s="256"/>
      <c r="P44" s="256"/>
      <c r="Q44" s="256"/>
      <c r="R44" s="256"/>
      <c r="S44" s="256"/>
      <c r="T44" s="256"/>
      <c r="U44" s="256"/>
      <c r="V44" s="256"/>
      <c r="W44" s="256"/>
    </row>
    <row r="45" spans="1:23">
      <c r="A45" s="342" t="s">
        <v>215</v>
      </c>
      <c r="B45" s="276" t="s">
        <v>112</v>
      </c>
      <c r="C45" s="277" t="s">
        <v>163</v>
      </c>
      <c r="D45" s="282">
        <f t="shared" si="7"/>
        <v>9.0544307782500265E-4</v>
      </c>
      <c r="E45" s="283">
        <f t="shared" si="10"/>
        <v>2.0281908924089775E-3</v>
      </c>
      <c r="F45" s="283">
        <f t="shared" si="10"/>
        <v>2.2430061878561968E-3</v>
      </c>
      <c r="G45" s="283">
        <f t="shared" si="10"/>
        <v>2.3983047289393563E-3</v>
      </c>
      <c r="H45" s="283">
        <f t="shared" si="10"/>
        <v>2.5085840833731824E-3</v>
      </c>
      <c r="I45" s="194"/>
      <c r="J45" s="284">
        <f>AVERAGE(D74:INDEX(D74:H74,0,MATCH(Data!$B$3,$D$6:$H$6,0)))/AVERAGE($D$97:INDEX($D$97:$H$97,0,MATCH(Data!$B$3,$D$6:$H$6,0)))</f>
        <v>9.0544307782500265E-4</v>
      </c>
      <c r="K45" s="285">
        <f t="shared" si="11"/>
        <v>2.0434993404590757E-3</v>
      </c>
      <c r="L45" s="504"/>
      <c r="M45" s="505"/>
      <c r="N45" s="256"/>
      <c r="O45" s="256"/>
      <c r="P45" s="256"/>
      <c r="Q45" s="256"/>
      <c r="R45" s="256"/>
      <c r="S45" s="256"/>
      <c r="T45" s="256"/>
      <c r="U45" s="256"/>
      <c r="V45" s="256"/>
      <c r="W45" s="256"/>
    </row>
    <row r="46" spans="1:23">
      <c r="A46" s="342" t="s">
        <v>216</v>
      </c>
      <c r="B46" s="276" t="s">
        <v>113</v>
      </c>
      <c r="C46" s="277" t="s">
        <v>163</v>
      </c>
      <c r="D46" s="282">
        <f t="shared" si="7"/>
        <v>0</v>
      </c>
      <c r="E46" s="283">
        <f t="shared" si="10"/>
        <v>0</v>
      </c>
      <c r="F46" s="283">
        <f t="shared" si="10"/>
        <v>0</v>
      </c>
      <c r="G46" s="283">
        <f t="shared" si="10"/>
        <v>0</v>
      </c>
      <c r="H46" s="283">
        <f t="shared" si="10"/>
        <v>0</v>
      </c>
      <c r="I46" s="194"/>
      <c r="J46" s="284">
        <f>AVERAGE(D75:INDEX(D75:H75,0,MATCH(Data!$B$3,$D$6:$H$6,0)))/AVERAGE($D$97:INDEX($D$97:$H$97,0,MATCH(Data!$B$3,$D$6:$H$6,0)))</f>
        <v>0</v>
      </c>
      <c r="K46" s="285">
        <f t="shared" si="11"/>
        <v>0</v>
      </c>
      <c r="L46" s="504"/>
      <c r="M46" s="505"/>
      <c r="N46" s="256"/>
      <c r="O46" s="256"/>
      <c r="P46" s="256"/>
      <c r="Q46" s="256"/>
      <c r="R46" s="256"/>
      <c r="S46" s="256"/>
      <c r="T46" s="256"/>
      <c r="U46" s="256"/>
      <c r="V46" s="256"/>
      <c r="W46" s="256"/>
    </row>
    <row r="47" spans="1:23">
      <c r="A47" s="342" t="s">
        <v>217</v>
      </c>
      <c r="B47" s="276" t="s">
        <v>114</v>
      </c>
      <c r="C47" s="277" t="s">
        <v>163</v>
      </c>
      <c r="D47" s="282">
        <f t="shared" si="7"/>
        <v>0</v>
      </c>
      <c r="E47" s="283">
        <f t="shared" si="10"/>
        <v>1.8602111605832048E-3</v>
      </c>
      <c r="F47" s="283">
        <f t="shared" si="10"/>
        <v>0</v>
      </c>
      <c r="G47" s="283">
        <f t="shared" si="10"/>
        <v>0</v>
      </c>
      <c r="H47" s="283">
        <f t="shared" si="10"/>
        <v>2.5650446976497997E-3</v>
      </c>
      <c r="I47" s="194"/>
      <c r="J47" s="284">
        <f>AVERAGE(D76:INDEX(D76:H76,0,MATCH(Data!$B$3,$D$6:$H$6,0)))/AVERAGE($D$97:INDEX($D$97:$H$97,0,MATCH(Data!$B$3,$D$6:$H$6,0)))</f>
        <v>0</v>
      </c>
      <c r="K47" s="285">
        <f t="shared" si="11"/>
        <v>9.3388633195614897E-4</v>
      </c>
      <c r="L47" s="504"/>
      <c r="M47" s="505"/>
      <c r="N47" s="256"/>
      <c r="O47" s="256"/>
      <c r="P47" s="256"/>
      <c r="Q47" s="256"/>
      <c r="R47" s="256"/>
      <c r="S47" s="256"/>
      <c r="T47" s="256"/>
      <c r="U47" s="256"/>
      <c r="V47" s="256"/>
      <c r="W47" s="256"/>
    </row>
    <row r="48" spans="1:23">
      <c r="A48" s="342" t="s">
        <v>218</v>
      </c>
      <c r="B48" s="276" t="s">
        <v>115</v>
      </c>
      <c r="C48" s="277" t="s">
        <v>163</v>
      </c>
      <c r="D48" s="282">
        <f t="shared" si="7"/>
        <v>1.9396115536289598E-4</v>
      </c>
      <c r="E48" s="283">
        <f t="shared" si="10"/>
        <v>1.2097051044281024E-3</v>
      </c>
      <c r="F48" s="283">
        <f t="shared" si="10"/>
        <v>1.5829775446484409E-3</v>
      </c>
      <c r="G48" s="283">
        <f t="shared" si="10"/>
        <v>1.6991461676074905E-3</v>
      </c>
      <c r="H48" s="283">
        <f t="shared" si="10"/>
        <v>1.9450538665795403E-3</v>
      </c>
      <c r="I48" s="194"/>
      <c r="J48" s="284">
        <f>AVERAGE(D77:INDEX(D77:H77,0,MATCH(Data!$B$3,$D$6:$H$6,0)))/AVERAGE($D$97:INDEX($D$97:$H$97,0,MATCH(Data!$B$3,$D$6:$H$6,0)))</f>
        <v>1.9396115536289598E-4</v>
      </c>
      <c r="K48" s="285">
        <f t="shared" si="11"/>
        <v>1.3575296406624108E-3</v>
      </c>
      <c r="L48" s="504"/>
      <c r="M48" s="505"/>
      <c r="N48" s="256"/>
      <c r="O48" s="256"/>
      <c r="P48" s="256"/>
      <c r="Q48" s="256"/>
      <c r="R48" s="256"/>
      <c r="S48" s="256"/>
      <c r="T48" s="256"/>
      <c r="U48" s="256"/>
      <c r="V48" s="256"/>
      <c r="W48" s="256"/>
    </row>
    <row r="49" spans="1:23">
      <c r="A49" s="342" t="s">
        <v>230</v>
      </c>
      <c r="B49" s="276" t="s">
        <v>116</v>
      </c>
      <c r="C49" s="277" t="s">
        <v>163</v>
      </c>
      <c r="D49" s="282">
        <f t="shared" si="7"/>
        <v>4.0945644751068708E-4</v>
      </c>
      <c r="E49" s="283">
        <f t="shared" si="10"/>
        <v>6.0270005202823606E-4</v>
      </c>
      <c r="F49" s="283">
        <f t="shared" si="10"/>
        <v>6.9288409355803453E-4</v>
      </c>
      <c r="G49" s="283">
        <f t="shared" si="10"/>
        <v>7.5248861515238763E-4</v>
      </c>
      <c r="H49" s="283">
        <f t="shared" si="10"/>
        <v>6.7697597451704065E-4</v>
      </c>
      <c r="I49" s="194"/>
      <c r="J49" s="284">
        <f>AVERAGE(D78:INDEX(D78:H78,0,MATCH(Data!$B$3,$D$6:$H$6,0)))/AVERAGE($D$97:INDEX($D$97:$H$97,0,MATCH(Data!$B$3,$D$6:$H$6,0)))</f>
        <v>4.0945644751068708E-4</v>
      </c>
      <c r="K49" s="285">
        <f t="shared" si="11"/>
        <v>6.3121923717071116E-4</v>
      </c>
      <c r="L49" s="504"/>
      <c r="M49" s="505"/>
      <c r="N49" s="256"/>
      <c r="O49" s="256"/>
      <c r="P49" s="256"/>
      <c r="Q49" s="256"/>
      <c r="R49" s="256"/>
      <c r="S49" s="256"/>
      <c r="T49" s="256"/>
      <c r="U49" s="256"/>
      <c r="V49" s="256"/>
      <c r="W49" s="256"/>
    </row>
    <row r="50" spans="1:23">
      <c r="A50" s="342" t="s">
        <v>219</v>
      </c>
      <c r="B50" s="276" t="s">
        <v>117</v>
      </c>
      <c r="C50" s="277" t="s">
        <v>163</v>
      </c>
      <c r="D50" s="282">
        <f t="shared" si="7"/>
        <v>0</v>
      </c>
      <c r="E50" s="283">
        <f t="shared" si="10"/>
        <v>0</v>
      </c>
      <c r="F50" s="283">
        <f t="shared" si="10"/>
        <v>0</v>
      </c>
      <c r="G50" s="283">
        <f t="shared" si="10"/>
        <v>0</v>
      </c>
      <c r="H50" s="283">
        <f t="shared" si="10"/>
        <v>0</v>
      </c>
      <c r="I50" s="194"/>
      <c r="J50" s="284">
        <f>AVERAGE(D79:INDEX(D79:H79,0,MATCH(Data!$B$3,$D$6:$H$6,0)))/AVERAGE($D$97:INDEX($D$97:$H$97,0,MATCH(Data!$B$3,$D$6:$H$6,0)))</f>
        <v>0</v>
      </c>
      <c r="K50" s="285">
        <f t="shared" si="11"/>
        <v>0</v>
      </c>
      <c r="L50" s="504"/>
      <c r="M50" s="505"/>
      <c r="N50" s="256"/>
      <c r="O50" s="256"/>
      <c r="P50" s="256"/>
      <c r="Q50" s="256"/>
      <c r="R50" s="256"/>
      <c r="S50" s="256"/>
      <c r="T50" s="256"/>
      <c r="U50" s="256"/>
      <c r="V50" s="256"/>
      <c r="W50" s="256"/>
    </row>
    <row r="51" spans="1:23">
      <c r="A51" s="342" t="s">
        <v>219</v>
      </c>
      <c r="B51" s="276" t="s">
        <v>118</v>
      </c>
      <c r="C51" s="277" t="s">
        <v>163</v>
      </c>
      <c r="D51" s="282">
        <f t="shared" si="7"/>
        <v>0</v>
      </c>
      <c r="E51" s="283">
        <f t="shared" si="10"/>
        <v>-2.3913252064317598E-4</v>
      </c>
      <c r="F51" s="283">
        <f t="shared" si="10"/>
        <v>-2.3564119391704012E-4</v>
      </c>
      <c r="G51" s="283">
        <f t="shared" si="10"/>
        <v>-2.2392295142226014E-4</v>
      </c>
      <c r="H51" s="283">
        <f t="shared" si="10"/>
        <v>-2.0145216180462438E-4</v>
      </c>
      <c r="I51" s="194"/>
      <c r="J51" s="284">
        <f>AVERAGE(D80:INDEX(D80:H80,0,MATCH(Data!$B$3,$D$6:$H$6,0)))/AVERAGE($D$97:INDEX($D$97:$H$97,0,MATCH(Data!$B$3,$D$6:$H$6,0)))</f>
        <v>0</v>
      </c>
      <c r="K51" s="285">
        <f t="shared" si="11"/>
        <v>-1.8211715916122254E-4</v>
      </c>
      <c r="L51" s="504"/>
      <c r="M51" s="505"/>
      <c r="N51" s="256"/>
      <c r="O51" s="256"/>
      <c r="P51" s="256"/>
      <c r="Q51" s="256"/>
      <c r="R51" s="256"/>
      <c r="S51" s="256"/>
      <c r="T51" s="256"/>
      <c r="U51" s="256"/>
      <c r="V51" s="256"/>
      <c r="W51" s="256"/>
    </row>
    <row r="52" spans="1:23">
      <c r="A52" s="342" t="s">
        <v>220</v>
      </c>
      <c r="B52" s="276" t="s">
        <v>119</v>
      </c>
      <c r="C52" s="277" t="s">
        <v>163</v>
      </c>
      <c r="D52" s="282">
        <f t="shared" si="7"/>
        <v>-6.175734517057547E-5</v>
      </c>
      <c r="E52" s="283">
        <f t="shared" si="10"/>
        <v>0</v>
      </c>
      <c r="F52" s="283">
        <f t="shared" si="10"/>
        <v>0</v>
      </c>
      <c r="G52" s="283">
        <f t="shared" si="10"/>
        <v>0</v>
      </c>
      <c r="H52" s="283">
        <f t="shared" si="10"/>
        <v>0</v>
      </c>
      <c r="I52" s="194"/>
      <c r="J52" s="284">
        <f>AVERAGE(D81:INDEX(D81:H81,0,MATCH(Data!$B$3,$D$6:$H$6,0)))/AVERAGE($D$97:INDEX($D$97:$H$97,0,MATCH(Data!$B$3,$D$6:$H$6,0)))</f>
        <v>-6.175734517057547E-5</v>
      </c>
      <c r="K52" s="285">
        <f t="shared" si="11"/>
        <v>-1.1552379088067615E-5</v>
      </c>
      <c r="L52" s="504"/>
      <c r="M52" s="505"/>
      <c r="N52" s="256"/>
      <c r="O52" s="256"/>
      <c r="P52" s="256"/>
      <c r="Q52" s="256"/>
      <c r="R52" s="256"/>
      <c r="S52" s="256"/>
      <c r="T52" s="256"/>
      <c r="U52" s="256"/>
      <c r="V52" s="256"/>
      <c r="W52" s="256"/>
    </row>
    <row r="53" spans="1:23">
      <c r="A53" s="342" t="s">
        <v>221</v>
      </c>
      <c r="B53" s="276" t="s">
        <v>120</v>
      </c>
      <c r="C53" s="277" t="s">
        <v>163</v>
      </c>
      <c r="D53" s="282">
        <f t="shared" si="7"/>
        <v>-2.6793326794380005E-5</v>
      </c>
      <c r="E53" s="283">
        <f t="shared" si="10"/>
        <v>0</v>
      </c>
      <c r="F53" s="283">
        <f t="shared" si="10"/>
        <v>0</v>
      </c>
      <c r="G53" s="283">
        <f t="shared" si="10"/>
        <v>0</v>
      </c>
      <c r="H53" s="283">
        <f t="shared" si="10"/>
        <v>0</v>
      </c>
      <c r="I53" s="194"/>
      <c r="J53" s="284">
        <f>AVERAGE(D82:INDEX(D82:H82,0,MATCH(Data!$B$3,$D$6:$H$6,0)))/AVERAGE($D$97:INDEX($D$97:$H$97,0,MATCH(Data!$B$3,$D$6:$H$6,0)))</f>
        <v>-2.6793326794380005E-5</v>
      </c>
      <c r="K53" s="285">
        <f t="shared" si="11"/>
        <v>-5.0119814461621732E-6</v>
      </c>
      <c r="L53" s="504"/>
      <c r="M53" s="505"/>
      <c r="N53" s="256"/>
      <c r="O53" s="256"/>
      <c r="P53" s="256"/>
      <c r="Q53" s="256"/>
      <c r="R53" s="256"/>
      <c r="S53" s="256"/>
      <c r="T53" s="256"/>
      <c r="U53" s="256"/>
      <c r="V53" s="256"/>
      <c r="W53" s="256"/>
    </row>
    <row r="54" spans="1:23">
      <c r="A54" s="342" t="s">
        <v>222</v>
      </c>
      <c r="B54" s="276"/>
      <c r="C54" s="277" t="s">
        <v>163</v>
      </c>
      <c r="D54" s="282">
        <f t="shared" si="7"/>
        <v>0</v>
      </c>
      <c r="E54" s="283">
        <f t="shared" si="10"/>
        <v>0</v>
      </c>
      <c r="F54" s="283">
        <f t="shared" si="10"/>
        <v>0</v>
      </c>
      <c r="G54" s="283">
        <f t="shared" si="10"/>
        <v>0</v>
      </c>
      <c r="H54" s="283">
        <f t="shared" si="10"/>
        <v>0</v>
      </c>
      <c r="I54" s="194"/>
      <c r="J54" s="284">
        <f>AVERAGE(D83:INDEX(D83:H83,0,MATCH(Data!$B$3,$D$6:$H$6,0)))/AVERAGE($D$97:INDEX($D$97:$H$97,0,MATCH(Data!$B$3,$D$6:$H$6,0)))</f>
        <v>0</v>
      </c>
      <c r="K54" s="285">
        <f t="shared" si="11"/>
        <v>0</v>
      </c>
      <c r="L54" s="504"/>
      <c r="M54" s="505"/>
      <c r="N54" s="256"/>
      <c r="O54" s="256"/>
      <c r="P54" s="256"/>
      <c r="Q54" s="256"/>
      <c r="R54" s="256"/>
      <c r="S54" s="256"/>
      <c r="T54" s="256"/>
      <c r="U54" s="256"/>
      <c r="V54" s="256"/>
      <c r="W54" s="256"/>
    </row>
    <row r="55" spans="1:23">
      <c r="A55" s="342" t="s">
        <v>223</v>
      </c>
      <c r="B55" s="276"/>
      <c r="C55" s="277" t="s">
        <v>163</v>
      </c>
      <c r="D55" s="282">
        <f t="shared" si="7"/>
        <v>0</v>
      </c>
      <c r="E55" s="283">
        <f t="shared" si="10"/>
        <v>0</v>
      </c>
      <c r="F55" s="283">
        <f t="shared" si="10"/>
        <v>0</v>
      </c>
      <c r="G55" s="283">
        <f t="shared" si="10"/>
        <v>0</v>
      </c>
      <c r="H55" s="283">
        <f t="shared" si="10"/>
        <v>0</v>
      </c>
      <c r="I55" s="194"/>
      <c r="J55" s="284">
        <f>AVERAGE(D84:INDEX(D84:H84,0,MATCH(Data!$B$3,$D$6:$H$6,0)))/AVERAGE($D$97:INDEX($D$97:$H$97,0,MATCH(Data!$B$3,$D$6:$H$6,0)))</f>
        <v>0</v>
      </c>
      <c r="K55" s="285">
        <f t="shared" si="11"/>
        <v>0</v>
      </c>
      <c r="L55" s="504"/>
      <c r="M55" s="505"/>
      <c r="N55" s="256"/>
      <c r="O55" s="256"/>
      <c r="P55" s="256"/>
      <c r="Q55" s="256"/>
      <c r="R55" s="256"/>
      <c r="S55" s="256"/>
      <c r="T55" s="256"/>
      <c r="U55" s="256"/>
      <c r="V55" s="256"/>
      <c r="W55" s="256"/>
    </row>
    <row r="56" spans="1:23">
      <c r="A56" s="342" t="s">
        <v>224</v>
      </c>
      <c r="B56" s="276"/>
      <c r="C56" s="277"/>
      <c r="D56" s="282">
        <f t="shared" si="7"/>
        <v>0</v>
      </c>
      <c r="E56" s="283">
        <f t="shared" si="10"/>
        <v>0</v>
      </c>
      <c r="F56" s="283">
        <f t="shared" si="10"/>
        <v>0</v>
      </c>
      <c r="G56" s="283">
        <f t="shared" si="10"/>
        <v>0</v>
      </c>
      <c r="H56" s="283">
        <f t="shared" si="10"/>
        <v>0</v>
      </c>
      <c r="I56" s="194"/>
      <c r="J56" s="284">
        <f>AVERAGE(D85:INDEX(D85:H85,0,MATCH(Data!$B$3,$D$6:$H$6,0)))/AVERAGE($D$97:INDEX($D$97:$H$97,0,MATCH(Data!$B$3,$D$6:$H$6,0)))</f>
        <v>0</v>
      </c>
      <c r="K56" s="285">
        <f t="shared" si="11"/>
        <v>0</v>
      </c>
      <c r="L56" s="268"/>
      <c r="M56" s="256"/>
      <c r="N56" s="256"/>
      <c r="O56" s="256"/>
      <c r="P56" s="256"/>
      <c r="Q56" s="256"/>
      <c r="R56" s="256"/>
      <c r="S56" s="256"/>
      <c r="T56" s="256"/>
      <c r="U56" s="256"/>
      <c r="V56" s="256"/>
      <c r="W56" s="256"/>
    </row>
    <row r="57" spans="1:23">
      <c r="A57" s="342" t="s">
        <v>225</v>
      </c>
      <c r="B57" s="276"/>
      <c r="C57" s="277"/>
      <c r="D57" s="282">
        <f t="shared" si="7"/>
        <v>0</v>
      </c>
      <c r="E57" s="283">
        <f t="shared" si="10"/>
        <v>0</v>
      </c>
      <c r="F57" s="283">
        <f t="shared" si="10"/>
        <v>0</v>
      </c>
      <c r="G57" s="283">
        <f t="shared" si="10"/>
        <v>0</v>
      </c>
      <c r="H57" s="283">
        <f t="shared" si="10"/>
        <v>0</v>
      </c>
      <c r="I57" s="194"/>
      <c r="J57" s="284">
        <f>AVERAGE(D86:INDEX(D86:H86,0,MATCH(Data!$B$3,$D$6:$H$6,0)))/AVERAGE($D$97:INDEX($D$97:$H$97,0,MATCH(Data!$B$3,$D$6:$H$6,0)))</f>
        <v>0</v>
      </c>
      <c r="K57" s="285">
        <f t="shared" si="11"/>
        <v>0</v>
      </c>
      <c r="L57" s="268"/>
      <c r="M57" s="256"/>
      <c r="N57" s="256"/>
      <c r="O57" s="256"/>
      <c r="P57" s="256"/>
      <c r="Q57" s="256"/>
      <c r="R57" s="256"/>
      <c r="S57" s="256"/>
      <c r="T57" s="256"/>
      <c r="U57" s="256"/>
      <c r="V57" s="256"/>
      <c r="W57" s="256"/>
    </row>
    <row r="58" spans="1:23">
      <c r="A58" s="342" t="s">
        <v>226</v>
      </c>
      <c r="B58" s="276"/>
      <c r="C58" s="277" t="s">
        <v>163</v>
      </c>
      <c r="D58" s="282">
        <f t="shared" si="7"/>
        <v>0</v>
      </c>
      <c r="E58" s="283">
        <f t="shared" si="10"/>
        <v>0</v>
      </c>
      <c r="F58" s="283">
        <f t="shared" si="10"/>
        <v>0</v>
      </c>
      <c r="G58" s="283">
        <f t="shared" si="10"/>
        <v>0</v>
      </c>
      <c r="H58" s="283">
        <f t="shared" si="10"/>
        <v>0</v>
      </c>
      <c r="I58" s="194"/>
      <c r="J58" s="284">
        <f>AVERAGE(D87:INDEX(D87:H87,0,MATCH(Data!$B$3,$D$6:$H$6,0)))/AVERAGE($D$97:INDEX($D$97:$H$97,0,MATCH(Data!$B$3,$D$6:$H$6,0)))</f>
        <v>0</v>
      </c>
      <c r="K58" s="285">
        <f t="shared" si="11"/>
        <v>0</v>
      </c>
      <c r="L58" s="504"/>
      <c r="M58" s="505"/>
      <c r="N58" s="256"/>
      <c r="O58" s="256"/>
      <c r="P58" s="256"/>
      <c r="Q58" s="256"/>
      <c r="R58" s="256"/>
      <c r="S58" s="256"/>
      <c r="T58" s="256"/>
      <c r="U58" s="256"/>
      <c r="V58" s="256"/>
      <c r="W58" s="256"/>
    </row>
    <row r="59" spans="1:23">
      <c r="A59" s="342"/>
      <c r="B59" s="276" t="s">
        <v>121</v>
      </c>
      <c r="C59" s="277" t="s">
        <v>163</v>
      </c>
      <c r="D59" s="282">
        <f t="shared" si="7"/>
        <v>-4.0621808242433479E-4</v>
      </c>
      <c r="E59" s="283">
        <f t="shared" si="10"/>
        <v>0</v>
      </c>
      <c r="F59" s="283">
        <f t="shared" si="10"/>
        <v>0</v>
      </c>
      <c r="G59" s="283">
        <f t="shared" si="10"/>
        <v>0</v>
      </c>
      <c r="H59" s="283">
        <f t="shared" si="10"/>
        <v>0</v>
      </c>
      <c r="I59" s="194"/>
      <c r="J59" s="284">
        <f>AVERAGE(D88:INDEX(D88:H88,0,MATCH(Data!$B$3,$D$6:$H$6,0)))/AVERAGE($D$97:INDEX($D$97:$H$97,0,MATCH(Data!$B$3,$D$6:$H$6,0)))</f>
        <v>-4.0621808242433479E-4</v>
      </c>
      <c r="K59" s="285">
        <f t="shared" si="11"/>
        <v>-7.5987484041488711E-5</v>
      </c>
      <c r="L59" s="504"/>
      <c r="M59" s="505"/>
      <c r="N59" s="256"/>
      <c r="O59" s="256"/>
      <c r="P59" s="256"/>
      <c r="Q59" s="256"/>
      <c r="R59" s="256"/>
      <c r="S59" s="256"/>
      <c r="T59" s="256"/>
      <c r="U59" s="256"/>
      <c r="V59" s="256"/>
      <c r="W59" s="256"/>
    </row>
    <row r="60" spans="1:23">
      <c r="A60" s="342"/>
      <c r="B60" s="279" t="s">
        <v>122</v>
      </c>
      <c r="C60" s="281" t="s">
        <v>163</v>
      </c>
      <c r="D60" s="324">
        <f>SUM(D40:D59)</f>
        <v>4.6552282843049478E-2</v>
      </c>
      <c r="E60" s="324">
        <f t="shared" ref="E60:H60" si="12">SUM(E40:E59)</f>
        <v>6.200857479685077E-2</v>
      </c>
      <c r="F60" s="324">
        <f t="shared" si="12"/>
        <v>5.922614429643857E-2</v>
      </c>
      <c r="G60" s="324">
        <f t="shared" si="12"/>
        <v>5.9086500395250374E-2</v>
      </c>
      <c r="H60" s="324">
        <f t="shared" si="12"/>
        <v>5.8786676231805793E-2</v>
      </c>
      <c r="I60" s="287"/>
      <c r="J60" s="151">
        <f>SUM(J40:J59)</f>
        <v>4.6552282843049478E-2</v>
      </c>
      <c r="K60" s="151">
        <f>SUM(K40:K59)</f>
        <v>5.7257402936788854E-2</v>
      </c>
      <c r="L60" s="514"/>
      <c r="M60" s="505"/>
      <c r="N60" s="256"/>
      <c r="O60" s="256"/>
      <c r="P60" s="256"/>
      <c r="Q60" s="256"/>
      <c r="R60" s="256"/>
      <c r="S60" s="256"/>
      <c r="T60" s="256"/>
      <c r="U60" s="256"/>
      <c r="V60" s="256"/>
      <c r="W60" s="256"/>
    </row>
    <row r="61" spans="1:23">
      <c r="A61" s="342"/>
      <c r="B61" s="276" t="s">
        <v>173</v>
      </c>
      <c r="C61" s="277" t="s">
        <v>163</v>
      </c>
      <c r="D61" s="282">
        <f>(D90+D91)/D$97</f>
        <v>3.9568566407702004E-2</v>
      </c>
      <c r="E61" s="282">
        <f t="shared" ref="E61:H61" si="13">(E90+E91)/E$97</f>
        <v>-2.1676314836560303E-3</v>
      </c>
      <c r="F61" s="282">
        <f t="shared" si="13"/>
        <v>-1.0818804367048469E-2</v>
      </c>
      <c r="G61" s="282">
        <f t="shared" si="13"/>
        <v>-4.2004770510610462E-3</v>
      </c>
      <c r="H61" s="282">
        <f t="shared" si="13"/>
        <v>-3.3891714681957234E-3</v>
      </c>
      <c r="I61" s="194"/>
      <c r="J61" s="284">
        <f>(AVERAGE(D90:INDEX(D90:H90,0,MATCH(Data!$B$3,$D$6:$H$6,0)))+AVERAGE(D91:INDEX(D91:H91,0,MATCH(Data!$B$3,$D$6:$H$6,0))))/AVERAGE($D$97:INDEX($D$97:$H$97,0,MATCH(Data!$B$3,$D$6:$H$6,0)))</f>
        <v>3.9568566407702004E-2</v>
      </c>
      <c r="K61" s="285">
        <f>(AVERAGE(D90:H90)+AVERAGE(D91:H91))/AVERAGE($D$97:$H$97)</f>
        <v>3.2786392650401772E-3</v>
      </c>
      <c r="L61" s="504"/>
      <c r="M61" s="505"/>
      <c r="N61" s="256"/>
      <c r="O61" s="256"/>
      <c r="P61" s="256"/>
      <c r="Q61" s="256"/>
      <c r="R61" s="256"/>
      <c r="S61" s="256"/>
      <c r="T61" s="256"/>
      <c r="U61" s="256"/>
      <c r="V61" s="256"/>
      <c r="W61" s="256"/>
    </row>
    <row r="62" spans="1:23">
      <c r="A62" s="342"/>
      <c r="B62" s="276" t="s">
        <v>174</v>
      </c>
      <c r="C62" s="277" t="s">
        <v>163</v>
      </c>
      <c r="D62" s="282">
        <f>(D92+D93)/D$97</f>
        <v>3.2810900756172776E-3</v>
      </c>
      <c r="E62" s="282">
        <f t="shared" ref="E62:H62" si="14">(E92+E93)/E$97</f>
        <v>2.8779292147497935E-3</v>
      </c>
      <c r="F62" s="282">
        <f t="shared" si="14"/>
        <v>1.0149086558018747E-3</v>
      </c>
      <c r="G62" s="282">
        <f t="shared" si="14"/>
        <v>-1.1118937455594799E-3</v>
      </c>
      <c r="H62" s="282">
        <f t="shared" si="14"/>
        <v>-1.2332404810859255E-3</v>
      </c>
      <c r="I62" s="194"/>
      <c r="J62" s="284">
        <f>(AVERAGE(D92:INDEX(D92:H92,0,MATCH(Data!$B$3,$D$6:$H$6,0)))+AVERAGE(D93:INDEX(D93:H93,0,MATCH(Data!$B$3,$D$6:$H$6,0))))/AVERAGE($D$97:INDEX($D$97:$H$97,0,MATCH(Data!$B$3,$D$6:$H$6,0)))</f>
        <v>3.2810900756172776E-3</v>
      </c>
      <c r="K62" s="285">
        <f>(AVERAGE(D92:H92)+AVERAGE(D93:H93))/AVERAGE($D$97:$H$97)</f>
        <v>8.5300191934953242E-4</v>
      </c>
      <c r="L62" s="504"/>
      <c r="M62" s="505"/>
      <c r="N62" s="256"/>
      <c r="O62" s="256"/>
      <c r="P62" s="256"/>
      <c r="Q62" s="256"/>
      <c r="R62" s="256"/>
      <c r="S62" s="256"/>
      <c r="T62" s="256"/>
      <c r="U62" s="256"/>
      <c r="V62" s="256"/>
      <c r="W62" s="256"/>
    </row>
    <row r="63" spans="1:23">
      <c r="A63" s="342"/>
      <c r="B63" s="279" t="s">
        <v>125</v>
      </c>
      <c r="C63" s="281" t="s">
        <v>163</v>
      </c>
      <c r="D63" s="151">
        <f>SUM(D60:D62)</f>
        <v>8.9401939326368751E-2</v>
      </c>
      <c r="E63" s="325">
        <f t="shared" ref="E63:H63" si="15">SUM(E60:E62)</f>
        <v>6.271887252794453E-2</v>
      </c>
      <c r="F63" s="325">
        <f t="shared" si="15"/>
        <v>4.9422248585191973E-2</v>
      </c>
      <c r="G63" s="325">
        <f t="shared" si="15"/>
        <v>5.3774129598629851E-2</v>
      </c>
      <c r="H63" s="325">
        <f t="shared" si="15"/>
        <v>5.4164264282524147E-2</v>
      </c>
      <c r="I63" s="287"/>
      <c r="J63" s="151">
        <f>SUM(J60:J62)</f>
        <v>8.9401939326368751E-2</v>
      </c>
      <c r="K63" s="323">
        <f>SUM(K60:K62)</f>
        <v>6.1389044121178564E-2</v>
      </c>
      <c r="L63" s="514"/>
      <c r="M63" s="505"/>
      <c r="N63" s="256"/>
      <c r="O63" s="256"/>
      <c r="P63" s="256"/>
      <c r="Q63" s="256"/>
      <c r="R63" s="256"/>
      <c r="S63" s="256"/>
      <c r="T63" s="256"/>
      <c r="U63" s="256"/>
      <c r="V63" s="256"/>
      <c r="W63" s="256"/>
    </row>
    <row r="64" spans="1:23">
      <c r="A64" s="342"/>
      <c r="B64" s="288"/>
      <c r="C64" s="281"/>
      <c r="D64" s="289"/>
      <c r="E64" s="289"/>
      <c r="F64" s="289"/>
      <c r="G64" s="289"/>
      <c r="H64" s="289"/>
      <c r="I64" s="280"/>
      <c r="J64" s="280"/>
      <c r="K64" s="289"/>
      <c r="L64" s="505"/>
      <c r="M64" s="505"/>
      <c r="N64" s="256"/>
      <c r="O64" s="256"/>
      <c r="P64" s="256"/>
      <c r="Q64" s="256"/>
      <c r="R64" s="256"/>
      <c r="S64" s="256"/>
      <c r="T64" s="256"/>
      <c r="U64" s="256"/>
      <c r="V64" s="256"/>
      <c r="W64" s="256"/>
    </row>
    <row r="65" spans="1:23">
      <c r="A65" s="342"/>
      <c r="B65" s="288"/>
      <c r="C65" s="281"/>
      <c r="D65" s="289"/>
      <c r="E65" s="289"/>
      <c r="F65" s="289"/>
      <c r="G65" s="289"/>
      <c r="H65" s="289"/>
      <c r="I65" s="511"/>
      <c r="J65" s="511"/>
      <c r="K65" s="289"/>
      <c r="L65" s="505"/>
      <c r="M65" s="505"/>
      <c r="N65" s="256"/>
      <c r="O65" s="256"/>
      <c r="P65" s="256"/>
      <c r="Q65" s="256"/>
      <c r="R65" s="256"/>
      <c r="S65" s="256"/>
      <c r="T65" s="256"/>
      <c r="U65" s="256"/>
      <c r="V65" s="256"/>
      <c r="W65" s="256"/>
    </row>
    <row r="66" spans="1:23">
      <c r="A66" s="342"/>
      <c r="B66" s="290" t="s">
        <v>175</v>
      </c>
      <c r="C66" s="291"/>
      <c r="D66" s="292"/>
      <c r="E66" s="292"/>
      <c r="F66" s="292"/>
      <c r="G66" s="292"/>
      <c r="H66" s="292"/>
      <c r="I66" s="512"/>
      <c r="J66" s="512"/>
      <c r="K66" s="292"/>
      <c r="L66" s="513"/>
      <c r="M66" s="513"/>
      <c r="N66" s="256"/>
      <c r="O66" s="256"/>
      <c r="P66" s="256"/>
      <c r="Q66" s="256"/>
      <c r="R66" s="256"/>
      <c r="S66" s="256"/>
      <c r="T66" s="256"/>
      <c r="U66" s="256"/>
      <c r="V66" s="256"/>
      <c r="W66" s="256"/>
    </row>
    <row r="67" spans="1:23">
      <c r="A67" s="342"/>
      <c r="B67" s="293" t="s">
        <v>227</v>
      </c>
      <c r="C67" s="294"/>
      <c r="D67" s="294"/>
      <c r="E67" s="294"/>
      <c r="F67" s="294"/>
      <c r="G67" s="294"/>
      <c r="H67" s="294"/>
      <c r="I67" s="510"/>
      <c r="J67" s="510"/>
      <c r="K67" s="294"/>
      <c r="L67" s="510"/>
      <c r="M67" s="510"/>
      <c r="N67" s="256"/>
      <c r="O67" s="256"/>
      <c r="P67" s="256"/>
      <c r="Q67" s="256"/>
      <c r="R67" s="256"/>
      <c r="S67" s="256"/>
      <c r="T67" s="256"/>
      <c r="U67" s="256"/>
      <c r="V67" s="256"/>
      <c r="W67" s="256"/>
    </row>
    <row r="68" spans="1:23">
      <c r="A68" s="342"/>
      <c r="B68" s="265"/>
      <c r="C68" s="256"/>
      <c r="D68" s="256"/>
      <c r="E68" s="256"/>
      <c r="F68" s="256"/>
      <c r="G68" s="256"/>
      <c r="H68" s="256"/>
      <c r="I68" s="505"/>
      <c r="J68" s="505"/>
      <c r="K68" s="256"/>
      <c r="L68" s="505"/>
      <c r="M68" s="505"/>
      <c r="N68" s="256"/>
      <c r="O68" s="256"/>
      <c r="P68" s="256"/>
      <c r="Q68" s="256"/>
      <c r="R68" s="256"/>
      <c r="S68" s="256"/>
      <c r="T68" s="256"/>
      <c r="U68" s="256"/>
      <c r="V68" s="256"/>
      <c r="W68" s="256"/>
    </row>
    <row r="69" spans="1:23">
      <c r="B69" s="295" t="s">
        <v>177</v>
      </c>
      <c r="C69" s="104" t="s">
        <v>228</v>
      </c>
      <c r="D69" s="326">
        <v>42.086022804108545</v>
      </c>
      <c r="E69" s="326">
        <v>46.709247878516109</v>
      </c>
      <c r="F69" s="326">
        <v>48.749558512670646</v>
      </c>
      <c r="G69" s="326">
        <v>51.790020529911274</v>
      </c>
      <c r="H69" s="326">
        <v>55.013351303421416</v>
      </c>
      <c r="I69" s="265"/>
      <c r="J69" s="326">
        <v>42.086022804108545</v>
      </c>
      <c r="K69" s="326">
        <v>244.34820102862795</v>
      </c>
      <c r="L69" s="508"/>
      <c r="M69" s="507"/>
      <c r="N69" s="256"/>
      <c r="O69" s="256"/>
      <c r="P69" s="256"/>
      <c r="Q69" s="256"/>
      <c r="R69" s="256"/>
      <c r="S69" s="256"/>
      <c r="T69" s="256"/>
      <c r="U69" s="256"/>
      <c r="V69" s="256"/>
      <c r="W69" s="256"/>
    </row>
    <row r="70" spans="1:23">
      <c r="B70" s="295" t="s">
        <v>108</v>
      </c>
      <c r="C70" s="104" t="s">
        <v>228</v>
      </c>
      <c r="D70" s="326">
        <v>-0.45716788403533659</v>
      </c>
      <c r="E70" s="326">
        <v>5.7745928816007455</v>
      </c>
      <c r="F70" s="326">
        <v>2.259089361775096</v>
      </c>
      <c r="G70" s="326">
        <v>1.1587770454480144</v>
      </c>
      <c r="H70" s="326">
        <v>0.44361482509857453</v>
      </c>
      <c r="I70" s="265"/>
      <c r="J70" s="326">
        <v>-0.45716788403533659</v>
      </c>
      <c r="K70" s="326">
        <v>9.1789062298870938</v>
      </c>
      <c r="L70" s="508"/>
      <c r="M70" s="507"/>
      <c r="N70" s="256"/>
      <c r="O70" s="256"/>
      <c r="P70" s="256"/>
      <c r="Q70" s="256"/>
      <c r="R70" s="256"/>
      <c r="S70" s="256"/>
      <c r="T70" s="256"/>
      <c r="U70" s="256"/>
      <c r="V70" s="256"/>
      <c r="W70" s="256"/>
    </row>
    <row r="71" spans="1:23">
      <c r="A71" s="314" t="s">
        <v>212</v>
      </c>
      <c r="B71" s="295" t="s">
        <v>109</v>
      </c>
      <c r="C71" s="104" t="s">
        <v>228</v>
      </c>
      <c r="D71" s="326">
        <v>0</v>
      </c>
      <c r="E71" s="326">
        <v>0</v>
      </c>
      <c r="F71" s="326">
        <v>0</v>
      </c>
      <c r="G71" s="326">
        <v>0</v>
      </c>
      <c r="H71" s="326">
        <v>0</v>
      </c>
      <c r="I71" s="265"/>
      <c r="J71" s="326">
        <v>0</v>
      </c>
      <c r="K71" s="326">
        <v>0</v>
      </c>
      <c r="L71" s="508"/>
      <c r="M71" s="507"/>
      <c r="N71" s="256"/>
      <c r="O71" s="256"/>
      <c r="P71" s="256"/>
      <c r="Q71" s="256"/>
      <c r="R71" s="256"/>
      <c r="S71" s="256"/>
      <c r="T71" s="256"/>
      <c r="U71" s="256"/>
      <c r="V71" s="256"/>
      <c r="W71" s="256"/>
    </row>
    <row r="72" spans="1:23">
      <c r="A72" s="343" t="s">
        <v>213</v>
      </c>
      <c r="B72" s="295" t="s">
        <v>110</v>
      </c>
      <c r="C72" s="298" t="s">
        <v>228</v>
      </c>
      <c r="D72" s="326">
        <v>0.86989227539797853</v>
      </c>
      <c r="E72" s="326">
        <v>0.90005189999999979</v>
      </c>
      <c r="F72" s="326">
        <v>1.0799288999999999</v>
      </c>
      <c r="G72" s="326">
        <v>1.1690358999999999</v>
      </c>
      <c r="H72" s="326">
        <v>1.2162178999999997</v>
      </c>
      <c r="I72" s="327"/>
      <c r="J72" s="326">
        <v>0.86989227539797853</v>
      </c>
      <c r="K72" s="326">
        <v>5.2351268753979774</v>
      </c>
      <c r="L72" s="508"/>
      <c r="M72" s="507"/>
      <c r="N72" s="256"/>
      <c r="O72" s="256"/>
      <c r="P72" s="256"/>
      <c r="Q72" s="256"/>
      <c r="R72" s="256"/>
      <c r="S72" s="256"/>
      <c r="T72" s="256"/>
      <c r="U72" s="256"/>
      <c r="V72" s="256"/>
      <c r="W72" s="256"/>
    </row>
    <row r="73" spans="1:23">
      <c r="A73" s="343" t="s">
        <v>214</v>
      </c>
      <c r="B73" s="295" t="s">
        <v>111</v>
      </c>
      <c r="C73" s="298" t="s">
        <v>228</v>
      </c>
      <c r="D73" s="326">
        <v>1.1510720841580784</v>
      </c>
      <c r="E73" s="326">
        <v>1.7838099999999995</v>
      </c>
      <c r="F73" s="326">
        <v>2.3084600000000068</v>
      </c>
      <c r="G73" s="326">
        <v>2.6232500000000001</v>
      </c>
      <c r="H73" s="326">
        <v>2.7281800000000165</v>
      </c>
      <c r="I73" s="327"/>
      <c r="J73" s="326">
        <v>1.1510720841580784</v>
      </c>
      <c r="K73" s="326">
        <v>10.594772084158102</v>
      </c>
      <c r="L73" s="508"/>
      <c r="M73" s="507"/>
      <c r="N73" s="256"/>
      <c r="O73" s="256"/>
      <c r="P73" s="256"/>
      <c r="Q73" s="256"/>
      <c r="R73" s="256"/>
      <c r="S73" s="256"/>
      <c r="T73" s="256"/>
      <c r="U73" s="256"/>
      <c r="V73" s="256"/>
      <c r="W73" s="256"/>
    </row>
    <row r="74" spans="1:23">
      <c r="A74" s="343" t="s">
        <v>215</v>
      </c>
      <c r="B74" s="295" t="s">
        <v>112</v>
      </c>
      <c r="C74" s="298" t="s">
        <v>228</v>
      </c>
      <c r="D74" s="326">
        <v>0.86789628484173953</v>
      </c>
      <c r="E74" s="326">
        <v>1.9787226510486624</v>
      </c>
      <c r="F74" s="326">
        <v>2.2207209823044827</v>
      </c>
      <c r="G74" s="326">
        <v>2.4987366846841641</v>
      </c>
      <c r="H74" s="326">
        <v>2.9051694526791048</v>
      </c>
      <c r="I74" s="327"/>
      <c r="J74" s="326">
        <v>0.86789628484173953</v>
      </c>
      <c r="K74" s="326">
        <v>10.471246055558154</v>
      </c>
      <c r="L74" s="508"/>
      <c r="M74" s="507"/>
      <c r="N74" s="256"/>
      <c r="O74" s="256"/>
      <c r="P74" s="256"/>
      <c r="Q74" s="256"/>
      <c r="R74" s="256"/>
      <c r="S74" s="256"/>
      <c r="T74" s="256"/>
      <c r="U74" s="256"/>
      <c r="V74" s="256"/>
      <c r="W74" s="256"/>
    </row>
    <row r="75" spans="1:23">
      <c r="A75" s="343" t="s">
        <v>216</v>
      </c>
      <c r="B75" s="295" t="s">
        <v>113</v>
      </c>
      <c r="C75" s="298" t="s">
        <v>228</v>
      </c>
      <c r="D75" s="326">
        <v>0</v>
      </c>
      <c r="E75" s="326">
        <v>0</v>
      </c>
      <c r="F75" s="326">
        <v>0</v>
      </c>
      <c r="G75" s="326">
        <v>0</v>
      </c>
      <c r="H75" s="326">
        <v>0</v>
      </c>
      <c r="I75" s="327"/>
      <c r="J75" s="326">
        <v>0</v>
      </c>
      <c r="K75" s="326">
        <v>0</v>
      </c>
      <c r="L75" s="508"/>
      <c r="M75" s="507"/>
      <c r="N75" s="256"/>
      <c r="O75" s="256"/>
      <c r="P75" s="256"/>
      <c r="Q75" s="256"/>
      <c r="R75" s="256"/>
      <c r="S75" s="256"/>
      <c r="T75" s="256"/>
      <c r="U75" s="256"/>
      <c r="V75" s="256"/>
      <c r="W75" s="256"/>
    </row>
    <row r="76" spans="1:23">
      <c r="A76" s="343" t="s">
        <v>217</v>
      </c>
      <c r="B76" s="295" t="s">
        <v>114</v>
      </c>
      <c r="C76" s="298" t="s">
        <v>228</v>
      </c>
      <c r="D76" s="326">
        <v>0</v>
      </c>
      <c r="E76" s="326">
        <v>1.8148399999999996</v>
      </c>
      <c r="F76" s="326">
        <v>0</v>
      </c>
      <c r="G76" s="326">
        <v>0</v>
      </c>
      <c r="H76" s="326">
        <v>2.9705560000000002</v>
      </c>
      <c r="I76" s="327"/>
      <c r="J76" s="326">
        <v>0</v>
      </c>
      <c r="K76" s="326">
        <v>4.7853959999999995</v>
      </c>
      <c r="L76" s="508"/>
      <c r="M76" s="507"/>
      <c r="N76" s="256"/>
      <c r="O76" s="256"/>
      <c r="P76" s="256"/>
      <c r="Q76" s="256"/>
      <c r="R76" s="256"/>
      <c r="S76" s="256"/>
      <c r="T76" s="256"/>
      <c r="U76" s="256"/>
      <c r="V76" s="256"/>
      <c r="W76" s="256"/>
    </row>
    <row r="77" spans="1:23">
      <c r="A77" s="314" t="s">
        <v>218</v>
      </c>
      <c r="B77" s="295" t="s">
        <v>115</v>
      </c>
      <c r="C77" s="104" t="s">
        <v>228</v>
      </c>
      <c r="D77" s="326">
        <v>0.18591800000000003</v>
      </c>
      <c r="E77" s="326">
        <v>1.1801999999999992</v>
      </c>
      <c r="F77" s="326">
        <v>1.5672499999999996</v>
      </c>
      <c r="G77" s="326">
        <v>1.7703000000000007</v>
      </c>
      <c r="H77" s="326">
        <v>2.2525499999999989</v>
      </c>
      <c r="I77" s="327"/>
      <c r="J77" s="326">
        <v>0.18591800000000003</v>
      </c>
      <c r="K77" s="326">
        <v>6.956217999999998</v>
      </c>
      <c r="L77" s="508"/>
      <c r="M77" s="507"/>
      <c r="N77" s="256"/>
      <c r="O77" s="256"/>
      <c r="P77" s="256"/>
      <c r="Q77" s="256"/>
      <c r="R77" s="256"/>
      <c r="S77" s="256"/>
      <c r="T77" s="256"/>
      <c r="U77" s="256"/>
      <c r="V77" s="256"/>
      <c r="W77" s="256"/>
    </row>
    <row r="78" spans="1:23">
      <c r="A78" s="314" t="s">
        <v>230</v>
      </c>
      <c r="B78" s="295" t="s">
        <v>116</v>
      </c>
      <c r="C78" s="104" t="s">
        <v>228</v>
      </c>
      <c r="D78" s="326">
        <v>0.39247716206816541</v>
      </c>
      <c r="E78" s="326">
        <v>0.58799999999999963</v>
      </c>
      <c r="F78" s="326">
        <v>0.68599999999999928</v>
      </c>
      <c r="G78" s="326">
        <v>0.78399999999999981</v>
      </c>
      <c r="H78" s="326">
        <v>0.78399999999999981</v>
      </c>
      <c r="I78" s="265"/>
      <c r="J78" s="326">
        <v>0.39247716206816541</v>
      </c>
      <c r="K78" s="326">
        <v>3.2344771620681638</v>
      </c>
      <c r="L78" s="508"/>
      <c r="M78" s="507"/>
      <c r="N78" s="256"/>
      <c r="O78" s="256"/>
      <c r="P78" s="256"/>
      <c r="Q78" s="256"/>
      <c r="R78" s="256"/>
      <c r="S78" s="256"/>
      <c r="T78" s="256"/>
      <c r="U78" s="256"/>
      <c r="V78" s="256"/>
      <c r="W78" s="256"/>
    </row>
    <row r="79" spans="1:23">
      <c r="A79" s="314" t="s">
        <v>219</v>
      </c>
      <c r="B79" s="295" t="s">
        <v>117</v>
      </c>
      <c r="C79" s="104" t="s">
        <v>228</v>
      </c>
      <c r="D79" s="326">
        <v>0</v>
      </c>
      <c r="E79" s="326">
        <v>0</v>
      </c>
      <c r="F79" s="326">
        <v>0</v>
      </c>
      <c r="G79" s="326">
        <v>0</v>
      </c>
      <c r="H79" s="326">
        <v>0</v>
      </c>
      <c r="I79" s="265"/>
      <c r="J79" s="326">
        <v>0</v>
      </c>
      <c r="K79" s="326">
        <v>0</v>
      </c>
      <c r="L79" s="508"/>
      <c r="M79" s="507"/>
      <c r="N79" s="256"/>
      <c r="O79" s="256"/>
      <c r="P79" s="256"/>
      <c r="Q79" s="256"/>
      <c r="R79" s="256"/>
      <c r="S79" s="256"/>
      <c r="T79" s="256"/>
      <c r="U79" s="256"/>
      <c r="V79" s="256"/>
      <c r="W79" s="256"/>
    </row>
    <row r="80" spans="1:23">
      <c r="A80" s="314" t="s">
        <v>219</v>
      </c>
      <c r="B80" s="295" t="s">
        <v>118</v>
      </c>
      <c r="C80" s="104" t="s">
        <v>228</v>
      </c>
      <c r="D80" s="326">
        <v>0</v>
      </c>
      <c r="E80" s="326">
        <v>-0.23329999999999984</v>
      </c>
      <c r="F80" s="326">
        <v>-0.23329999999999984</v>
      </c>
      <c r="G80" s="326">
        <v>-0.23329999999999984</v>
      </c>
      <c r="H80" s="326">
        <v>-0.23329999999999984</v>
      </c>
      <c r="I80" s="265"/>
      <c r="J80" s="326">
        <v>0</v>
      </c>
      <c r="K80" s="326">
        <v>-0.93319999999999936</v>
      </c>
      <c r="L80" s="508"/>
      <c r="M80" s="507"/>
      <c r="N80" s="256"/>
      <c r="O80" s="256"/>
      <c r="P80" s="256"/>
      <c r="Q80" s="256"/>
      <c r="R80" s="256"/>
      <c r="S80" s="256"/>
      <c r="T80" s="256"/>
      <c r="U80" s="256"/>
      <c r="V80" s="256"/>
      <c r="W80" s="256"/>
    </row>
    <row r="81" spans="1:23">
      <c r="A81" s="314" t="s">
        <v>220</v>
      </c>
      <c r="B81" s="295" t="s">
        <v>119</v>
      </c>
      <c r="C81" s="104" t="s">
        <v>228</v>
      </c>
      <c r="D81" s="326">
        <v>-5.9196399804594457E-2</v>
      </c>
      <c r="E81" s="326">
        <v>0</v>
      </c>
      <c r="F81" s="326">
        <v>0</v>
      </c>
      <c r="G81" s="326">
        <v>0</v>
      </c>
      <c r="H81" s="326">
        <v>0</v>
      </c>
      <c r="I81" s="265"/>
      <c r="J81" s="326">
        <v>-5.9196399804594457E-2</v>
      </c>
      <c r="K81" s="326">
        <v>-5.9196399804594457E-2</v>
      </c>
      <c r="L81" s="508"/>
      <c r="M81" s="507"/>
      <c r="N81" s="256"/>
      <c r="O81" s="256"/>
      <c r="P81" s="256"/>
      <c r="Q81" s="256"/>
      <c r="R81" s="256"/>
      <c r="S81" s="256"/>
      <c r="T81" s="256"/>
      <c r="U81" s="256"/>
      <c r="V81" s="256"/>
      <c r="W81" s="256"/>
    </row>
    <row r="82" spans="1:23">
      <c r="A82" s="314" t="s">
        <v>221</v>
      </c>
      <c r="B82" s="295" t="s">
        <v>120</v>
      </c>
      <c r="C82" s="104" t="s">
        <v>228</v>
      </c>
      <c r="D82" s="326">
        <v>-2.56822646866459E-2</v>
      </c>
      <c r="E82" s="326">
        <v>0</v>
      </c>
      <c r="F82" s="326">
        <v>0</v>
      </c>
      <c r="G82" s="326">
        <v>0</v>
      </c>
      <c r="H82" s="326">
        <v>0</v>
      </c>
      <c r="I82" s="265"/>
      <c r="J82" s="326">
        <v>-2.56822646866459E-2</v>
      </c>
      <c r="K82" s="326">
        <v>-2.56822646866459E-2</v>
      </c>
      <c r="L82" s="508"/>
      <c r="M82" s="507"/>
      <c r="N82" s="256"/>
      <c r="O82" s="256"/>
      <c r="P82" s="256"/>
      <c r="Q82" s="256"/>
      <c r="R82" s="256"/>
      <c r="S82" s="256"/>
      <c r="T82" s="256"/>
      <c r="U82" s="256"/>
      <c r="V82" s="256"/>
      <c r="W82" s="256"/>
    </row>
    <row r="83" spans="1:23">
      <c r="A83" s="314" t="s">
        <v>222</v>
      </c>
      <c r="B83" s="295"/>
      <c r="C83" s="104" t="s">
        <v>228</v>
      </c>
      <c r="D83" s="326">
        <v>0</v>
      </c>
      <c r="E83" s="326">
        <v>0</v>
      </c>
      <c r="F83" s="326">
        <v>0</v>
      </c>
      <c r="G83" s="326">
        <v>0</v>
      </c>
      <c r="H83" s="326">
        <v>0</v>
      </c>
      <c r="I83" s="265"/>
      <c r="J83" s="326">
        <v>0</v>
      </c>
      <c r="K83" s="326">
        <v>0</v>
      </c>
      <c r="L83" s="508"/>
      <c r="M83" s="507"/>
      <c r="N83" s="256"/>
      <c r="O83" s="256"/>
      <c r="P83" s="256"/>
      <c r="Q83" s="256"/>
      <c r="R83" s="256"/>
      <c r="S83" s="256"/>
      <c r="T83" s="256"/>
      <c r="U83" s="256"/>
      <c r="V83" s="256"/>
      <c r="W83" s="256"/>
    </row>
    <row r="84" spans="1:23">
      <c r="A84" s="314" t="s">
        <v>223</v>
      </c>
      <c r="B84" s="295"/>
      <c r="C84" s="104" t="s">
        <v>228</v>
      </c>
      <c r="D84" s="326">
        <v>0</v>
      </c>
      <c r="E84" s="326">
        <v>0</v>
      </c>
      <c r="F84" s="326">
        <v>0</v>
      </c>
      <c r="G84" s="326">
        <v>0</v>
      </c>
      <c r="H84" s="326">
        <v>0</v>
      </c>
      <c r="I84" s="265"/>
      <c r="J84" s="326">
        <v>0</v>
      </c>
      <c r="K84" s="326">
        <v>0</v>
      </c>
      <c r="L84" s="508"/>
      <c r="M84" s="507"/>
      <c r="N84" s="256"/>
      <c r="O84" s="256"/>
      <c r="P84" s="256"/>
      <c r="Q84" s="256"/>
      <c r="R84" s="256"/>
      <c r="S84" s="256"/>
      <c r="T84" s="256"/>
      <c r="U84" s="256"/>
      <c r="V84" s="256"/>
      <c r="W84" s="256"/>
    </row>
    <row r="85" spans="1:23">
      <c r="A85" s="314" t="s">
        <v>224</v>
      </c>
      <c r="B85" s="295"/>
      <c r="C85" s="104" t="s">
        <v>228</v>
      </c>
      <c r="D85" s="326">
        <v>0</v>
      </c>
      <c r="E85" s="326">
        <v>0</v>
      </c>
      <c r="F85" s="326">
        <v>0</v>
      </c>
      <c r="G85" s="326">
        <v>0</v>
      </c>
      <c r="H85" s="326">
        <v>0</v>
      </c>
      <c r="I85" s="265"/>
      <c r="J85" s="326">
        <v>0</v>
      </c>
      <c r="K85" s="326">
        <v>0</v>
      </c>
      <c r="L85" s="508"/>
      <c r="M85" s="507"/>
      <c r="N85" s="256"/>
      <c r="O85" s="256"/>
      <c r="P85" s="256"/>
      <c r="Q85" s="256"/>
      <c r="R85" s="256"/>
      <c r="S85" s="256"/>
      <c r="T85" s="256"/>
      <c r="U85" s="256"/>
      <c r="V85" s="256"/>
      <c r="W85" s="256"/>
    </row>
    <row r="86" spans="1:23">
      <c r="A86" s="314" t="s">
        <v>225</v>
      </c>
      <c r="B86" s="295"/>
      <c r="C86" s="104" t="s">
        <v>228</v>
      </c>
      <c r="D86" s="326">
        <v>0</v>
      </c>
      <c r="E86" s="326">
        <v>0</v>
      </c>
      <c r="F86" s="326">
        <v>0</v>
      </c>
      <c r="G86" s="326">
        <v>0</v>
      </c>
      <c r="H86" s="326">
        <v>0</v>
      </c>
      <c r="I86" s="265"/>
      <c r="J86" s="326">
        <v>0</v>
      </c>
      <c r="K86" s="326">
        <v>0</v>
      </c>
      <c r="L86" s="297"/>
      <c r="M86" s="265"/>
      <c r="N86" s="256"/>
      <c r="O86" s="256"/>
      <c r="P86" s="256"/>
      <c r="Q86" s="256"/>
      <c r="R86" s="256"/>
      <c r="S86" s="256"/>
      <c r="T86" s="256"/>
      <c r="U86" s="256"/>
      <c r="V86" s="256"/>
      <c r="W86" s="256"/>
    </row>
    <row r="87" spans="1:23">
      <c r="A87" s="314" t="s">
        <v>226</v>
      </c>
      <c r="B87" s="295"/>
      <c r="C87" s="104" t="s">
        <v>228</v>
      </c>
      <c r="D87" s="326">
        <v>0</v>
      </c>
      <c r="E87" s="326">
        <v>0</v>
      </c>
      <c r="F87" s="326">
        <v>0</v>
      </c>
      <c r="G87" s="326">
        <v>0</v>
      </c>
      <c r="H87" s="326">
        <v>0</v>
      </c>
      <c r="I87" s="265"/>
      <c r="J87" s="326">
        <v>0</v>
      </c>
      <c r="K87" s="326">
        <v>0</v>
      </c>
      <c r="L87" s="297"/>
      <c r="M87" s="265"/>
      <c r="N87" s="256"/>
      <c r="O87" s="256"/>
      <c r="P87" s="256"/>
      <c r="Q87" s="256"/>
      <c r="R87" s="256"/>
      <c r="S87" s="256"/>
      <c r="T87" s="256"/>
      <c r="U87" s="256"/>
      <c r="V87" s="256"/>
      <c r="W87" s="256"/>
    </row>
    <row r="88" spans="1:23">
      <c r="B88" s="295" t="s">
        <v>121</v>
      </c>
      <c r="C88" s="104" t="s">
        <v>228</v>
      </c>
      <c r="D88" s="326">
        <v>-0.38937308507399621</v>
      </c>
      <c r="E88" s="326">
        <v>0</v>
      </c>
      <c r="F88" s="326">
        <v>0</v>
      </c>
      <c r="G88" s="326">
        <v>0</v>
      </c>
      <c r="H88" s="326">
        <v>0</v>
      </c>
      <c r="I88" s="265"/>
      <c r="J88" s="326">
        <v>-0.38937308507399621</v>
      </c>
      <c r="K88" s="326">
        <v>-0.38937308507399621</v>
      </c>
      <c r="L88" s="508"/>
      <c r="M88" s="507"/>
      <c r="N88" s="256"/>
      <c r="O88" s="256"/>
      <c r="P88" s="256"/>
      <c r="Q88" s="256"/>
      <c r="R88" s="256"/>
      <c r="S88" s="256"/>
      <c r="T88" s="256"/>
      <c r="U88" s="256"/>
      <c r="V88" s="256"/>
      <c r="W88" s="256"/>
    </row>
    <row r="89" spans="1:23">
      <c r="A89" s="344"/>
      <c r="B89" s="300" t="s">
        <v>122</v>
      </c>
      <c r="C89" s="104" t="s">
        <v>228</v>
      </c>
      <c r="D89" s="328">
        <v>44.621858976973947</v>
      </c>
      <c r="E89" s="328">
        <v>60.49616531116552</v>
      </c>
      <c r="F89" s="328">
        <v>58.637707756750231</v>
      </c>
      <c r="G89" s="328">
        <v>61.560820160043441</v>
      </c>
      <c r="H89" s="328">
        <v>68.080339481199118</v>
      </c>
      <c r="I89" s="329"/>
      <c r="J89" s="328">
        <v>44.621858976973947</v>
      </c>
      <c r="K89" s="328">
        <v>293.39689168613216</v>
      </c>
      <c r="L89" s="509"/>
      <c r="M89" s="507"/>
      <c r="N89" s="256"/>
      <c r="O89" s="256"/>
      <c r="P89" s="256"/>
      <c r="Q89" s="256"/>
      <c r="R89" s="256"/>
      <c r="S89" s="256"/>
      <c r="T89" s="256"/>
      <c r="U89" s="256"/>
      <c r="V89" s="256"/>
      <c r="W89" s="256"/>
    </row>
    <row r="90" spans="1:23">
      <c r="B90" s="295" t="s">
        <v>123</v>
      </c>
      <c r="C90" s="104" t="s">
        <v>228</v>
      </c>
      <c r="D90" s="326">
        <v>38.066850935154982</v>
      </c>
      <c r="E90" s="326">
        <v>-7.361807806103597</v>
      </c>
      <c r="F90" s="326">
        <v>-15.389104181746188</v>
      </c>
      <c r="G90" s="326">
        <v>-8.4356568323642787</v>
      </c>
      <c r="H90" s="326">
        <v>-10.539522415118583</v>
      </c>
      <c r="I90" s="265"/>
      <c r="J90" s="326">
        <v>38.066850935154982</v>
      </c>
      <c r="K90" s="326">
        <v>-3.6592403001776663</v>
      </c>
      <c r="L90" s="508"/>
      <c r="M90" s="507"/>
      <c r="N90" s="256"/>
      <c r="O90" s="256"/>
      <c r="P90" s="256"/>
      <c r="Q90" s="256"/>
      <c r="R90" s="256"/>
      <c r="S90" s="256"/>
      <c r="T90" s="256"/>
      <c r="U90" s="256"/>
      <c r="V90" s="256"/>
      <c r="W90" s="256"/>
    </row>
    <row r="91" spans="1:23">
      <c r="B91" s="295" t="s">
        <v>179</v>
      </c>
      <c r="C91" s="104" t="s">
        <v>228</v>
      </c>
      <c r="D91" s="326">
        <v>-0.13910857033292956</v>
      </c>
      <c r="E91" s="326">
        <v>5.247045565581951</v>
      </c>
      <c r="F91" s="326">
        <v>4.6777891655736941</v>
      </c>
      <c r="G91" s="326">
        <v>4.0592796464251215</v>
      </c>
      <c r="H91" s="326">
        <v>6.6145523554926893</v>
      </c>
      <c r="I91" s="265"/>
      <c r="J91" s="326">
        <v>-0.13910857033292956</v>
      </c>
      <c r="K91" s="326">
        <v>20.459558162740528</v>
      </c>
      <c r="L91" s="508"/>
      <c r="M91" s="507"/>
      <c r="N91" s="256"/>
      <c r="O91" s="256"/>
      <c r="P91" s="256"/>
      <c r="Q91" s="256"/>
      <c r="R91" s="256"/>
      <c r="S91" s="256"/>
      <c r="T91" s="256"/>
      <c r="U91" s="256"/>
      <c r="V91" s="256"/>
      <c r="W91" s="256"/>
    </row>
    <row r="92" spans="1:23">
      <c r="B92" s="295" t="s">
        <v>124</v>
      </c>
      <c r="C92" s="104" t="s">
        <v>228</v>
      </c>
      <c r="D92" s="326">
        <v>3.1102531266853433</v>
      </c>
      <c r="E92" s="326">
        <v>4.1194969682850662</v>
      </c>
      <c r="F92" s="326">
        <v>2.174272404789928</v>
      </c>
      <c r="G92" s="326">
        <v>-0.14363575000143669</v>
      </c>
      <c r="H92" s="326">
        <v>0.22543299213966961</v>
      </c>
      <c r="I92" s="265"/>
      <c r="J92" s="326">
        <v>3.1102531266853433</v>
      </c>
      <c r="K92" s="326">
        <v>9.4858197418985704</v>
      </c>
      <c r="L92" s="508"/>
      <c r="M92" s="507"/>
      <c r="N92" s="256"/>
      <c r="O92" s="256"/>
      <c r="P92" s="256"/>
      <c r="Q92" s="256"/>
      <c r="R92" s="256"/>
      <c r="S92" s="256"/>
      <c r="T92" s="256"/>
      <c r="U92" s="256"/>
      <c r="V92" s="256"/>
      <c r="W92" s="256"/>
    </row>
    <row r="93" spans="1:23">
      <c r="B93" s="295" t="s">
        <v>180</v>
      </c>
      <c r="C93" s="104" t="s">
        <v>228</v>
      </c>
      <c r="D93" s="326">
        <v>3.4777142583234166E-2</v>
      </c>
      <c r="E93" s="326">
        <v>-1.3117613913954891</v>
      </c>
      <c r="F93" s="326">
        <v>-1.1694472913934248</v>
      </c>
      <c r="G93" s="326">
        <v>-1.0148199116062777</v>
      </c>
      <c r="H93" s="326">
        <v>-1.6536380888731692</v>
      </c>
      <c r="I93" s="265"/>
      <c r="J93" s="326">
        <v>3.4777142583234166E-2</v>
      </c>
      <c r="K93" s="326">
        <v>-5.1148895406851267</v>
      </c>
      <c r="L93" s="508"/>
      <c r="M93" s="507"/>
      <c r="N93" s="256"/>
      <c r="O93" s="256"/>
      <c r="P93" s="256"/>
      <c r="Q93" s="256"/>
      <c r="R93" s="256"/>
      <c r="S93" s="256"/>
      <c r="T93" s="256"/>
      <c r="U93" s="256"/>
      <c r="V93" s="256"/>
      <c r="W93" s="256"/>
    </row>
    <row r="94" spans="1:23">
      <c r="A94" s="344"/>
      <c r="B94" s="300" t="s">
        <v>125</v>
      </c>
      <c r="C94" s="104" t="s">
        <v>228</v>
      </c>
      <c r="D94" s="328">
        <v>85.69463161106458</v>
      </c>
      <c r="E94" s="328">
        <v>61.18913864753344</v>
      </c>
      <c r="F94" s="328">
        <v>48.931217853974232</v>
      </c>
      <c r="G94" s="328">
        <v>56.025987312496568</v>
      </c>
      <c r="H94" s="328">
        <v>62.727164324839734</v>
      </c>
      <c r="I94" s="329"/>
      <c r="J94" s="328">
        <v>85.69463161106458</v>
      </c>
      <c r="K94" s="328">
        <v>314.56813974990848</v>
      </c>
      <c r="L94" s="509"/>
      <c r="M94" s="507"/>
      <c r="N94" s="256"/>
      <c r="O94" s="256"/>
      <c r="P94" s="256"/>
      <c r="Q94" s="256"/>
      <c r="R94" s="256"/>
      <c r="S94" s="256"/>
      <c r="T94" s="256"/>
      <c r="U94" s="256"/>
      <c r="V94" s="256"/>
      <c r="W94" s="256"/>
    </row>
    <row r="95" spans="1:23">
      <c r="B95" s="295"/>
      <c r="D95" s="305"/>
      <c r="E95" s="256"/>
      <c r="F95" s="256"/>
      <c r="G95" s="256"/>
      <c r="H95" s="256"/>
      <c r="I95" s="265"/>
      <c r="J95" s="265"/>
      <c r="K95" s="256"/>
      <c r="L95" s="507"/>
      <c r="M95" s="507"/>
      <c r="N95" s="256"/>
      <c r="O95" s="256"/>
      <c r="P95" s="256"/>
      <c r="Q95" s="256"/>
      <c r="R95" s="256"/>
      <c r="S95" s="256"/>
      <c r="T95" s="256"/>
      <c r="U95" s="256"/>
      <c r="V95" s="256"/>
      <c r="W95" s="256"/>
    </row>
    <row r="96" spans="1:23">
      <c r="B96" s="295" t="s">
        <v>181</v>
      </c>
      <c r="C96" s="104" t="s">
        <v>228</v>
      </c>
      <c r="D96" s="326">
        <v>796.57166620210194</v>
      </c>
      <c r="E96" s="326">
        <v>835.95284138012983</v>
      </c>
      <c r="F96" s="326">
        <v>883.53749419412088</v>
      </c>
      <c r="G96" s="326">
        <v>936.18539742448559</v>
      </c>
      <c r="H96" s="326">
        <v>991.42387338454523</v>
      </c>
      <c r="I96" s="508"/>
      <c r="J96" s="507"/>
      <c r="K96" s="256"/>
      <c r="L96" s="507"/>
      <c r="M96" s="507"/>
      <c r="N96" s="256"/>
      <c r="O96" s="256"/>
      <c r="P96" s="256"/>
      <c r="Q96" s="256"/>
      <c r="R96" s="256"/>
      <c r="S96" s="256"/>
      <c r="T96" s="256"/>
      <c r="U96" s="256"/>
      <c r="V96" s="256"/>
      <c r="W96" s="256"/>
    </row>
    <row r="97" spans="1:23">
      <c r="B97" s="295" t="s">
        <v>182</v>
      </c>
      <c r="C97" s="104" t="s">
        <v>228</v>
      </c>
      <c r="D97" s="326">
        <v>958.53213315909863</v>
      </c>
      <c r="E97" s="326">
        <v>975.60967187779875</v>
      </c>
      <c r="F97" s="326">
        <v>990.06458133180013</v>
      </c>
      <c r="G97" s="326">
        <v>1041.8762280426406</v>
      </c>
      <c r="H97" s="326">
        <v>1158.0913200934654</v>
      </c>
      <c r="I97" s="508"/>
      <c r="J97" s="507"/>
      <c r="K97" s="256"/>
      <c r="L97" s="507"/>
      <c r="M97" s="507"/>
      <c r="N97" s="256"/>
      <c r="O97" s="256"/>
      <c r="P97" s="256"/>
      <c r="Q97" s="256"/>
      <c r="R97" s="256"/>
      <c r="S97" s="256"/>
      <c r="T97" s="256"/>
      <c r="U97" s="256"/>
      <c r="V97" s="256"/>
      <c r="W97" s="256"/>
    </row>
    <row r="98" spans="1:23">
      <c r="A98" s="342"/>
      <c r="B98" s="265"/>
      <c r="C98" s="256"/>
      <c r="D98" s="256"/>
      <c r="E98" s="256"/>
      <c r="F98" s="256"/>
      <c r="G98" s="256"/>
      <c r="H98" s="256"/>
      <c r="I98" s="505"/>
      <c r="J98" s="505"/>
      <c r="K98" s="256"/>
      <c r="L98" s="507"/>
      <c r="M98" s="507"/>
      <c r="N98" s="256"/>
      <c r="O98" s="256"/>
      <c r="P98" s="256"/>
      <c r="Q98" s="256"/>
      <c r="R98" s="256"/>
      <c r="S98" s="256"/>
      <c r="T98" s="256"/>
      <c r="U98" s="256"/>
      <c r="V98" s="256"/>
      <c r="W98" s="256"/>
    </row>
    <row r="99" spans="1:23">
      <c r="A99" s="342"/>
      <c r="B99" s="265"/>
      <c r="C99" s="256"/>
      <c r="D99" s="256"/>
      <c r="E99" s="256"/>
      <c r="F99" s="256"/>
      <c r="G99" s="256"/>
      <c r="H99" s="256"/>
      <c r="I99" s="505"/>
      <c r="J99" s="505"/>
      <c r="K99" s="256"/>
      <c r="L99" s="507"/>
      <c r="M99" s="507"/>
      <c r="N99" s="256"/>
      <c r="O99" s="256"/>
      <c r="P99" s="256"/>
      <c r="Q99" s="256"/>
      <c r="R99" s="256"/>
      <c r="S99" s="256"/>
      <c r="T99" s="256"/>
      <c r="U99" s="256"/>
      <c r="V99" s="256"/>
      <c r="W99" s="256"/>
    </row>
    <row r="100" spans="1:23">
      <c r="A100" s="342"/>
      <c r="B100" s="306" t="s">
        <v>231</v>
      </c>
      <c r="D100" s="307" t="str">
        <f>ED!D100</f>
        <v>Actuals</v>
      </c>
      <c r="E100" s="307" t="str">
        <f>ED!E100</f>
        <v>Forecast</v>
      </c>
      <c r="F100" s="307" t="str">
        <f>ED!F100</f>
        <v>Forecast</v>
      </c>
      <c r="G100" s="307" t="str">
        <f>ED!G100</f>
        <v>Forecast</v>
      </c>
      <c r="H100" s="307" t="str">
        <f>ED!H100</f>
        <v>Forecast</v>
      </c>
      <c r="L100" s="507"/>
      <c r="M100" s="507"/>
      <c r="N100" s="256"/>
      <c r="O100" s="256"/>
      <c r="P100" s="256"/>
      <c r="Q100" s="256"/>
      <c r="R100" s="256"/>
      <c r="S100" s="256"/>
      <c r="T100" s="256"/>
      <c r="U100" s="256"/>
      <c r="V100" s="256"/>
      <c r="W100" s="256"/>
    </row>
    <row r="101" spans="1:23" ht="22.8">
      <c r="A101" s="342"/>
      <c r="B101" s="308"/>
      <c r="D101" s="309">
        <f>ED!D101</f>
        <v>2024</v>
      </c>
      <c r="E101" s="309">
        <f>ED!E101</f>
        <v>2025</v>
      </c>
      <c r="F101" s="309">
        <f>ED!F101</f>
        <v>2026</v>
      </c>
      <c r="G101" s="309">
        <f>ED!G101</f>
        <v>2027</v>
      </c>
      <c r="H101" s="309">
        <f>ED!H101</f>
        <v>2028</v>
      </c>
      <c r="J101" s="310" t="str">
        <f>ED!J101</f>
        <v>Cumulative to 2024</v>
      </c>
      <c r="K101" s="309" t="str">
        <f>ED!K101</f>
        <v>RIIO-2 period</v>
      </c>
      <c r="L101" s="504"/>
      <c r="M101" s="505"/>
      <c r="N101" s="256"/>
      <c r="O101" s="256"/>
      <c r="P101" s="256"/>
      <c r="Q101" s="256"/>
      <c r="R101" s="256"/>
      <c r="S101" s="256"/>
      <c r="T101" s="256"/>
      <c r="U101" s="256"/>
      <c r="V101" s="256"/>
      <c r="W101" s="256"/>
    </row>
    <row r="102" spans="1:23">
      <c r="A102" s="342"/>
      <c r="B102" s="308" t="s">
        <v>154</v>
      </c>
      <c r="C102" s="104" t="s">
        <v>228</v>
      </c>
      <c r="D102" s="326">
        <v>280.59293726594012</v>
      </c>
      <c r="E102" s="326">
        <v>376.49693284297001</v>
      </c>
      <c r="F102" s="326">
        <v>417.73131383438113</v>
      </c>
      <c r="G102" s="326">
        <v>407.49257759079359</v>
      </c>
      <c r="H102" s="326">
        <v>425.78030778040278</v>
      </c>
      <c r="I102" s="308"/>
      <c r="J102" s="326">
        <v>280.59293726594012</v>
      </c>
      <c r="K102" s="326">
        <v>1908.0940693144873</v>
      </c>
      <c r="L102" s="504"/>
      <c r="M102" s="505"/>
      <c r="N102" s="256"/>
      <c r="O102" s="256"/>
      <c r="P102" s="256"/>
      <c r="Q102" s="256"/>
      <c r="R102" s="256"/>
      <c r="S102" s="256"/>
      <c r="T102" s="256"/>
      <c r="U102" s="256"/>
      <c r="V102" s="256"/>
      <c r="W102" s="256"/>
    </row>
    <row r="103" spans="1:23" ht="30" customHeight="1">
      <c r="A103" s="342"/>
      <c r="B103" s="312" t="s">
        <v>155</v>
      </c>
      <c r="C103" s="104" t="s">
        <v>228</v>
      </c>
      <c r="D103" s="326">
        <v>358.10527044432536</v>
      </c>
      <c r="E103" s="326">
        <v>375.91176241562908</v>
      </c>
      <c r="F103" s="326">
        <v>400.18630849815406</v>
      </c>
      <c r="G103" s="326">
        <v>388.70258889471091</v>
      </c>
      <c r="H103" s="326">
        <v>403.76895878485811</v>
      </c>
      <c r="I103" s="308"/>
      <c r="J103" s="326">
        <v>358.10527044432536</v>
      </c>
      <c r="K103" s="326">
        <v>1926.6748890376775</v>
      </c>
      <c r="L103" s="504"/>
      <c r="M103" s="505"/>
      <c r="N103" s="256"/>
      <c r="O103" s="256"/>
      <c r="P103" s="256"/>
      <c r="Q103" s="256"/>
      <c r="R103" s="256"/>
      <c r="S103" s="256"/>
      <c r="T103" s="256"/>
      <c r="U103" s="256"/>
      <c r="V103" s="256"/>
      <c r="W103" s="256"/>
    </row>
    <row r="104" spans="1:23">
      <c r="A104" s="342"/>
      <c r="B104" s="306" t="s">
        <v>156</v>
      </c>
      <c r="C104" s="104" t="s">
        <v>228</v>
      </c>
      <c r="D104" s="326">
        <v>77.512333178385177</v>
      </c>
      <c r="E104" s="326">
        <v>-0.58517042734092684</v>
      </c>
      <c r="F104" s="326">
        <v>-17.545005336227042</v>
      </c>
      <c r="G104" s="326">
        <v>-18.789988696082673</v>
      </c>
      <c r="H104" s="326">
        <v>-22.011348995544679</v>
      </c>
      <c r="I104" s="308"/>
      <c r="J104" s="326">
        <v>77.512333178385177</v>
      </c>
      <c r="K104" s="326">
        <v>18.580819723190018</v>
      </c>
      <c r="L104" s="504"/>
      <c r="M104" s="505"/>
      <c r="N104" s="256"/>
      <c r="O104" s="256"/>
      <c r="P104" s="256"/>
      <c r="Q104" s="256"/>
      <c r="R104" s="256"/>
      <c r="S104" s="256"/>
      <c r="T104" s="256"/>
      <c r="U104" s="256"/>
      <c r="V104" s="256"/>
      <c r="W104" s="256"/>
    </row>
    <row r="105" spans="1:23">
      <c r="A105" s="342"/>
      <c r="B105" s="308" t="s">
        <v>157</v>
      </c>
      <c r="C105" s="104" t="s">
        <v>228</v>
      </c>
      <c r="D105" s="326">
        <v>-78.437774239185458</v>
      </c>
      <c r="E105" s="326">
        <v>12.274629701836364</v>
      </c>
      <c r="F105" s="326">
        <v>22.11806072443574</v>
      </c>
      <c r="G105" s="326">
        <v>21.135691217232498</v>
      </c>
      <c r="H105" s="326">
        <v>22.909354714367705</v>
      </c>
      <c r="I105" s="308"/>
      <c r="J105" s="326">
        <v>-78.437774239185458</v>
      </c>
      <c r="K105" s="326">
        <v>-3.7881313144083606E-5</v>
      </c>
      <c r="L105" s="504"/>
      <c r="M105" s="505"/>
      <c r="N105" s="256"/>
      <c r="O105" s="256"/>
      <c r="P105" s="256"/>
      <c r="Q105" s="256"/>
      <c r="R105" s="256"/>
      <c r="S105" s="256"/>
      <c r="T105" s="256"/>
      <c r="U105" s="256"/>
      <c r="V105" s="256"/>
      <c r="W105" s="256"/>
    </row>
    <row r="106" spans="1:23">
      <c r="A106" s="342"/>
      <c r="B106" s="306" t="s">
        <v>158</v>
      </c>
      <c r="C106" s="104" t="s">
        <v>228</v>
      </c>
      <c r="D106" s="303">
        <f>D104+D105</f>
        <v>-0.92544106080028143</v>
      </c>
      <c r="E106" s="303">
        <f>E104+E105</f>
        <v>11.689459274495437</v>
      </c>
      <c r="F106" s="303">
        <f t="shared" ref="F106:H106" si="16">F104+F105</f>
        <v>4.5730553882086973</v>
      </c>
      <c r="G106" s="303">
        <f>G104+G105</f>
        <v>2.3457025211498248</v>
      </c>
      <c r="H106" s="303">
        <f t="shared" si="16"/>
        <v>0.89800571882302549</v>
      </c>
      <c r="I106" s="308"/>
      <c r="J106" s="303">
        <f>J104+J105</f>
        <v>-0.92544106080028143</v>
      </c>
      <c r="K106" s="303">
        <f>K104+K105</f>
        <v>18.580781841876874</v>
      </c>
      <c r="L106" s="506"/>
      <c r="M106" s="505"/>
      <c r="N106" s="256"/>
      <c r="O106" s="256"/>
      <c r="P106" s="256"/>
      <c r="Q106" s="256"/>
      <c r="R106" s="256"/>
      <c r="S106" s="256"/>
      <c r="T106" s="256"/>
      <c r="U106" s="256"/>
      <c r="V106" s="256"/>
      <c r="W106" s="256"/>
    </row>
    <row r="107" spans="1:23">
      <c r="A107" s="342"/>
      <c r="B107" s="306" t="s">
        <v>159</v>
      </c>
      <c r="C107" s="314" t="s">
        <v>163</v>
      </c>
      <c r="D107" s="151">
        <f>D106/D103</f>
        <v>-2.5842709872770774E-3</v>
      </c>
      <c r="E107" s="151">
        <f>E106/E103</f>
        <v>3.1096284935002692E-2</v>
      </c>
      <c r="F107" s="151">
        <f t="shared" ref="F107:H107" si="17">F106/F103</f>
        <v>1.1427315955337816E-2</v>
      </c>
      <c r="G107" s="151">
        <f t="shared" si="17"/>
        <v>6.0346974477836898E-3</v>
      </c>
      <c r="H107" s="151">
        <f t="shared" si="17"/>
        <v>2.2240583365436806E-3</v>
      </c>
      <c r="J107" s="151">
        <f>J106/J103</f>
        <v>-2.5842709872770774E-3</v>
      </c>
      <c r="K107" s="151">
        <f>K106/K103</f>
        <v>9.6439632589790363E-3</v>
      </c>
      <c r="L107" s="506"/>
      <c r="M107" s="505"/>
      <c r="N107" s="256"/>
      <c r="O107" s="256"/>
      <c r="P107" s="256"/>
      <c r="Q107" s="256"/>
      <c r="R107" s="256"/>
      <c r="S107" s="256"/>
      <c r="T107" s="256"/>
      <c r="U107" s="256"/>
      <c r="V107" s="256"/>
      <c r="W107" s="256"/>
    </row>
  </sheetData>
  <mergeCells count="115">
    <mergeCell ref="L5:M5"/>
    <mergeCell ref="L7:M7"/>
    <mergeCell ref="I9:J9"/>
    <mergeCell ref="L9:M9"/>
    <mergeCell ref="I10:J10"/>
    <mergeCell ref="L10:M10"/>
    <mergeCell ref="I1:J1"/>
    <mergeCell ref="I2:J2"/>
    <mergeCell ref="I3:J3"/>
    <mergeCell ref="I4:J4"/>
    <mergeCell ref="L4:M4"/>
    <mergeCell ref="I5:J5"/>
    <mergeCell ref="L17:M17"/>
    <mergeCell ref="L18:M18"/>
    <mergeCell ref="L19:M19"/>
    <mergeCell ref="L20:M20"/>
    <mergeCell ref="L21:M21"/>
    <mergeCell ref="L22:M22"/>
    <mergeCell ref="L11:M11"/>
    <mergeCell ref="L12:M12"/>
    <mergeCell ref="L13:M13"/>
    <mergeCell ref="L14:M14"/>
    <mergeCell ref="L15:M15"/>
    <mergeCell ref="L16:M16"/>
    <mergeCell ref="L31:M31"/>
    <mergeCell ref="L32:M32"/>
    <mergeCell ref="L33:M33"/>
    <mergeCell ref="L34:M34"/>
    <mergeCell ref="L35:M35"/>
    <mergeCell ref="L23:M23"/>
    <mergeCell ref="L24:M24"/>
    <mergeCell ref="L25:M25"/>
    <mergeCell ref="L26:M26"/>
    <mergeCell ref="L27:M27"/>
    <mergeCell ref="L30:M30"/>
    <mergeCell ref="I39:J39"/>
    <mergeCell ref="L39:M39"/>
    <mergeCell ref="L40:M40"/>
    <mergeCell ref="L41:M41"/>
    <mergeCell ref="L42:M42"/>
    <mergeCell ref="L43:M43"/>
    <mergeCell ref="I36:J36"/>
    <mergeCell ref="L36:M36"/>
    <mergeCell ref="I37:J37"/>
    <mergeCell ref="L37:M37"/>
    <mergeCell ref="I38:J38"/>
    <mergeCell ref="L38:M38"/>
    <mergeCell ref="L50:M50"/>
    <mergeCell ref="L51:M51"/>
    <mergeCell ref="L52:M52"/>
    <mergeCell ref="L53:M53"/>
    <mergeCell ref="L54:M54"/>
    <mergeCell ref="L55:M55"/>
    <mergeCell ref="L44:M44"/>
    <mergeCell ref="L45:M45"/>
    <mergeCell ref="L46:M46"/>
    <mergeCell ref="L47:M47"/>
    <mergeCell ref="L48:M48"/>
    <mergeCell ref="L49:M49"/>
    <mergeCell ref="L64:M64"/>
    <mergeCell ref="I65:J65"/>
    <mergeCell ref="L65:M65"/>
    <mergeCell ref="I66:J66"/>
    <mergeCell ref="L66:M66"/>
    <mergeCell ref="L58:M58"/>
    <mergeCell ref="L59:M59"/>
    <mergeCell ref="L60:M60"/>
    <mergeCell ref="L61:M61"/>
    <mergeCell ref="L62:M62"/>
    <mergeCell ref="L63:M63"/>
    <mergeCell ref="L71:M71"/>
    <mergeCell ref="L72:M72"/>
    <mergeCell ref="L73:M73"/>
    <mergeCell ref="L74:M74"/>
    <mergeCell ref="L75:M75"/>
    <mergeCell ref="L76:M76"/>
    <mergeCell ref="I67:J67"/>
    <mergeCell ref="L67:M67"/>
    <mergeCell ref="I68:J68"/>
    <mergeCell ref="L68:M68"/>
    <mergeCell ref="L69:M69"/>
    <mergeCell ref="L70:M70"/>
    <mergeCell ref="L83:M83"/>
    <mergeCell ref="L84:M84"/>
    <mergeCell ref="L85:M85"/>
    <mergeCell ref="L88:M88"/>
    <mergeCell ref="L89:M89"/>
    <mergeCell ref="L90:M90"/>
    <mergeCell ref="L77:M77"/>
    <mergeCell ref="L78:M78"/>
    <mergeCell ref="L79:M79"/>
    <mergeCell ref="L80:M80"/>
    <mergeCell ref="L81:M81"/>
    <mergeCell ref="L82:M82"/>
    <mergeCell ref="I96:J96"/>
    <mergeCell ref="L96:M96"/>
    <mergeCell ref="I97:J97"/>
    <mergeCell ref="L97:M97"/>
    <mergeCell ref="I98:J98"/>
    <mergeCell ref="L98:M98"/>
    <mergeCell ref="L91:M91"/>
    <mergeCell ref="L92:M92"/>
    <mergeCell ref="L93:M93"/>
    <mergeCell ref="L94:M94"/>
    <mergeCell ref="L95:M95"/>
    <mergeCell ref="L105:M105"/>
    <mergeCell ref="L106:M106"/>
    <mergeCell ref="L107:M107"/>
    <mergeCell ref="L102:M102"/>
    <mergeCell ref="L103:M103"/>
    <mergeCell ref="L104:M104"/>
    <mergeCell ref="I99:J99"/>
    <mergeCell ref="L99:M99"/>
    <mergeCell ref="L100:M100"/>
    <mergeCell ref="L101:M101"/>
  </mergeCells>
  <conditionalFormatting sqref="D100:H101 J101">
    <cfRule type="expression" dxfId="23" priority="59">
      <formula>AND(D$6="Actuals",E$6="Forecast")</formula>
    </cfRule>
  </conditionalFormatting>
  <conditionalFormatting sqref="K101">
    <cfRule type="expression" dxfId="22" priority="62">
      <formula>AND(K$6="Actuals",L$5="Forecast")</formula>
    </cfRule>
  </conditionalFormatting>
  <pageMargins left="0.7" right="0.7" top="0.75" bottom="0.75" header="0.3" footer="0.3"/>
  <ignoredErrors>
    <ignoredError sqref="D31:K3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2EF-1E03-4198-B20B-00B64D21E558}">
  <sheetPr>
    <tabColor theme="8" tint="0.39997558519241921"/>
  </sheetPr>
  <dimension ref="A1:W137"/>
  <sheetViews>
    <sheetView zoomScale="80" zoomScaleNormal="80" workbookViewId="0"/>
  </sheetViews>
  <sheetFormatPr defaultColWidth="9.26953125" defaultRowHeight="11.4"/>
  <cols>
    <col min="1" max="1" width="5.90625" style="314" customWidth="1"/>
    <col min="2" max="2" width="51.08984375" style="104" bestFit="1" customWidth="1"/>
    <col min="3" max="3" width="8.7265625" style="104" customWidth="1"/>
    <col min="4" max="8" width="8.36328125" style="104" customWidth="1"/>
    <col min="9" max="9" width="2.08984375" style="104" customWidth="1"/>
    <col min="10" max="10" width="9.36328125" style="104" customWidth="1"/>
    <col min="11" max="11" width="10.6328125" style="104" customWidth="1"/>
    <col min="12" max="12" width="1.08984375" style="104" bestFit="1" customWidth="1"/>
    <col min="13" max="16384" width="9.26953125" style="104"/>
  </cols>
  <sheetData>
    <row r="1" spans="1:23" ht="15.6">
      <c r="A1" s="419" t="s">
        <v>162</v>
      </c>
      <c r="B1" s="330"/>
      <c r="C1" s="331"/>
      <c r="D1" s="331"/>
      <c r="E1" s="331"/>
      <c r="F1" s="331"/>
      <c r="G1" s="332"/>
      <c r="H1" s="332"/>
      <c r="I1" s="522"/>
      <c r="J1" s="522"/>
      <c r="K1" s="254"/>
      <c r="L1" s="255" t="s">
        <v>30</v>
      </c>
      <c r="M1" s="256"/>
      <c r="N1" s="256"/>
      <c r="O1" s="256"/>
      <c r="P1" s="256"/>
      <c r="Q1" s="256"/>
      <c r="R1" s="256"/>
      <c r="S1" s="256"/>
      <c r="T1" s="256"/>
      <c r="U1" s="256"/>
      <c r="V1" s="256"/>
      <c r="W1" s="256"/>
    </row>
    <row r="2" spans="1:23" ht="15.6">
      <c r="A2" s="425" t="s">
        <v>23</v>
      </c>
      <c r="B2" s="333"/>
      <c r="C2" s="334"/>
      <c r="D2" s="334"/>
      <c r="E2" s="334"/>
      <c r="F2" s="334"/>
      <c r="G2" s="335"/>
      <c r="H2" s="335"/>
      <c r="I2" s="523"/>
      <c r="J2" s="523"/>
      <c r="K2" s="260"/>
      <c r="L2" s="261"/>
      <c r="M2" s="256"/>
      <c r="N2" s="256"/>
      <c r="O2" s="256"/>
      <c r="P2" s="256"/>
      <c r="Q2" s="256"/>
      <c r="R2" s="256"/>
      <c r="S2" s="256"/>
      <c r="T2" s="256"/>
      <c r="U2" s="256"/>
      <c r="V2" s="256"/>
      <c r="W2" s="256"/>
    </row>
    <row r="3" spans="1:23" ht="15.6">
      <c r="A3" s="430">
        <v>2024</v>
      </c>
      <c r="B3" s="335"/>
      <c r="C3" s="335"/>
      <c r="D3" s="335"/>
      <c r="E3" s="335"/>
      <c r="F3" s="335"/>
      <c r="G3" s="335"/>
      <c r="H3" s="336"/>
      <c r="I3" s="524"/>
      <c r="J3" s="524"/>
      <c r="K3" s="263"/>
      <c r="L3" s="264"/>
      <c r="M3" s="256"/>
      <c r="N3" s="256"/>
      <c r="O3" s="256"/>
      <c r="P3" s="256"/>
      <c r="Q3" s="256"/>
      <c r="R3" s="256"/>
      <c r="S3" s="256"/>
      <c r="T3" s="256"/>
      <c r="U3" s="256"/>
      <c r="V3" s="256"/>
      <c r="W3" s="256"/>
    </row>
    <row r="4" spans="1:23">
      <c r="A4" s="342"/>
      <c r="B4" s="265"/>
      <c r="C4" s="256"/>
      <c r="D4" s="256"/>
      <c r="E4" s="256"/>
      <c r="F4" s="256"/>
      <c r="G4" s="256"/>
      <c r="H4" s="256"/>
      <c r="I4" s="525"/>
      <c r="J4" s="525"/>
      <c r="K4" s="256"/>
      <c r="L4" s="505"/>
      <c r="M4" s="505"/>
      <c r="N4" s="256"/>
      <c r="O4" s="256"/>
      <c r="P4" s="256"/>
      <c r="Q4" s="256"/>
      <c r="R4" s="256"/>
      <c r="S4" s="256"/>
      <c r="T4" s="256"/>
      <c r="U4" s="256"/>
      <c r="V4" s="256"/>
      <c r="W4" s="256"/>
    </row>
    <row r="5" spans="1:23">
      <c r="A5" s="342"/>
      <c r="B5" s="265"/>
      <c r="C5" s="256"/>
      <c r="L5" s="505"/>
      <c r="M5" s="505"/>
      <c r="N5" s="256"/>
      <c r="O5" s="256"/>
      <c r="P5" s="256"/>
      <c r="Q5" s="256"/>
      <c r="R5" s="256"/>
      <c r="S5" s="256"/>
      <c r="T5" s="256"/>
      <c r="U5" s="256"/>
      <c r="V5" s="256"/>
      <c r="W5" s="256"/>
    </row>
    <row r="6" spans="1:23">
      <c r="A6" s="342"/>
      <c r="B6" s="265"/>
      <c r="C6" s="266"/>
      <c r="D6" s="267" t="s">
        <v>198</v>
      </c>
      <c r="E6" s="267" t="s">
        <v>211</v>
      </c>
      <c r="F6" s="267" t="s">
        <v>211</v>
      </c>
      <c r="G6" s="267" t="s">
        <v>211</v>
      </c>
      <c r="H6" s="267" t="s">
        <v>211</v>
      </c>
      <c r="I6" s="526"/>
      <c r="J6" s="527"/>
      <c r="K6" s="256"/>
      <c r="L6" s="504"/>
      <c r="M6" s="505"/>
      <c r="N6" s="256"/>
      <c r="O6" s="256"/>
      <c r="P6" s="256"/>
      <c r="Q6" s="256"/>
      <c r="R6" s="256"/>
      <c r="S6" s="256"/>
      <c r="T6" s="256"/>
      <c r="U6" s="256"/>
      <c r="V6" s="256"/>
      <c r="W6" s="256"/>
    </row>
    <row r="7" spans="1:23" ht="22.8">
      <c r="A7" s="342"/>
      <c r="B7" s="265"/>
      <c r="C7" s="266"/>
      <c r="D7" s="269">
        <v>2024</v>
      </c>
      <c r="E7" s="269">
        <v>2025</v>
      </c>
      <c r="F7" s="269">
        <v>2026</v>
      </c>
      <c r="G7" s="269">
        <v>2027</v>
      </c>
      <c r="H7" s="269">
        <v>2028</v>
      </c>
      <c r="I7" s="270"/>
      <c r="J7" s="271" t="s">
        <v>58</v>
      </c>
      <c r="K7" s="272" t="s">
        <v>59</v>
      </c>
      <c r="L7" s="266"/>
      <c r="M7" s="256"/>
      <c r="N7" s="256"/>
      <c r="O7" s="256"/>
      <c r="P7" s="256"/>
      <c r="Q7" s="256"/>
      <c r="R7" s="256"/>
      <c r="S7" s="256"/>
      <c r="T7" s="256"/>
      <c r="U7" s="256"/>
      <c r="V7" s="256"/>
      <c r="W7" s="256"/>
    </row>
    <row r="8" spans="1:23">
      <c r="A8" s="342"/>
      <c r="B8" s="265"/>
      <c r="C8" s="265"/>
      <c r="D8" s="265"/>
      <c r="E8" s="265"/>
      <c r="F8" s="265"/>
      <c r="G8" s="265"/>
      <c r="H8" s="265"/>
      <c r="I8" s="265"/>
      <c r="J8" s="265"/>
      <c r="K8" s="265"/>
      <c r="L8" s="507"/>
      <c r="M8" s="507"/>
      <c r="N8" s="265"/>
      <c r="O8" s="265"/>
      <c r="P8" s="265"/>
      <c r="Q8" s="265"/>
      <c r="R8" s="265"/>
      <c r="S8" s="265"/>
      <c r="T8" s="265"/>
      <c r="U8" s="256"/>
      <c r="V8" s="256"/>
      <c r="W8" s="256"/>
    </row>
    <row r="9" spans="1:23">
      <c r="A9" s="342"/>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42"/>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42"/>
      <c r="B11" s="276" t="s">
        <v>107</v>
      </c>
      <c r="C11" s="277" t="s">
        <v>163</v>
      </c>
      <c r="D11" s="316">
        <f t="shared" ref="D11:H26" si="0">D65/D$90</f>
        <v>5.2833943999999994E-2</v>
      </c>
      <c r="E11" s="316">
        <f t="shared" si="0"/>
        <v>5.5875458000000003E-2</v>
      </c>
      <c r="F11" s="316">
        <f t="shared" si="0"/>
        <v>5.5175427000000006E-2</v>
      </c>
      <c r="G11" s="316">
        <f t="shared" si="0"/>
        <v>5.5320261000000009E-2</v>
      </c>
      <c r="H11" s="316">
        <f t="shared" si="0"/>
        <v>5.5489234000000012E-2</v>
      </c>
      <c r="I11" s="278"/>
      <c r="J11" s="317">
        <f>AVERAGE(D65:INDEX(D65:H65,0,MATCH(Data!$B$3,$D$7:$H$7,0)))/AVERAGE($D$90:INDEX($D$90:$H$90,0,MATCH(Data!$B$3,$D$7:$H$7,0)))</f>
        <v>5.2833943999999994E-2</v>
      </c>
      <c r="K11" s="317">
        <f t="shared" ref="K11:K28" si="1">AVERAGE(D65:H65)/AVERAGE($D$90:$H$90)</f>
        <v>5.4969038195473767E-2</v>
      </c>
      <c r="L11" s="504"/>
      <c r="M11" s="505"/>
      <c r="N11" s="256"/>
      <c r="O11" s="256"/>
      <c r="P11" s="256"/>
      <c r="Q11" s="256"/>
      <c r="R11" s="256"/>
      <c r="S11" s="256"/>
      <c r="T11" s="256"/>
      <c r="U11" s="256"/>
      <c r="V11" s="256"/>
      <c r="W11" s="256"/>
    </row>
    <row r="12" spans="1:23">
      <c r="A12" s="342"/>
      <c r="B12" s="276" t="s">
        <v>108</v>
      </c>
      <c r="C12" s="277" t="s">
        <v>163</v>
      </c>
      <c r="D12" s="316">
        <f t="shared" si="0"/>
        <v>3.330932325313465E-3</v>
      </c>
      <c r="E12" s="316">
        <f t="shared" si="0"/>
        <v>4.5256622672698102E-3</v>
      </c>
      <c r="F12" s="316">
        <f t="shared" si="0"/>
        <v>5.6143233869598158E-3</v>
      </c>
      <c r="G12" s="316">
        <f t="shared" si="0"/>
        <v>7.3879635483250425E-3</v>
      </c>
      <c r="H12" s="316">
        <f t="shared" si="0"/>
        <v>7.3379527382546415E-3</v>
      </c>
      <c r="I12" s="278"/>
      <c r="J12" s="317">
        <f>AVERAGE(D66:INDEX(D66:H66,0,MATCH(Data!$B$3,$D$7:$H$7,0)))/AVERAGE($D$90:INDEX($D$90:$H$90,0,MATCH(Data!$B$3,$D$7:$H$7,0)))</f>
        <v>3.330932325313465E-3</v>
      </c>
      <c r="K12" s="317">
        <f t="shared" si="1"/>
        <v>5.7128550078502779E-3</v>
      </c>
      <c r="L12" s="504"/>
      <c r="M12" s="505"/>
      <c r="N12" s="256"/>
      <c r="O12" s="256"/>
      <c r="P12" s="256"/>
      <c r="Q12" s="256"/>
      <c r="R12" s="256"/>
      <c r="S12" s="256"/>
      <c r="T12" s="256"/>
      <c r="U12" s="256"/>
      <c r="V12" s="256"/>
      <c r="W12" s="256"/>
    </row>
    <row r="13" spans="1:23">
      <c r="A13" s="342" t="s">
        <v>212</v>
      </c>
      <c r="B13" s="276" t="s">
        <v>109</v>
      </c>
      <c r="C13" s="277" t="s">
        <v>163</v>
      </c>
      <c r="D13" s="316">
        <f t="shared" si="0"/>
        <v>1.3437140142869594E-3</v>
      </c>
      <c r="E13" s="316">
        <f t="shared" si="0"/>
        <v>0</v>
      </c>
      <c r="F13" s="316">
        <f t="shared" si="0"/>
        <v>0</v>
      </c>
      <c r="G13" s="316">
        <f t="shared" si="0"/>
        <v>0</v>
      </c>
      <c r="H13" s="316">
        <f t="shared" si="0"/>
        <v>0</v>
      </c>
      <c r="I13" s="278"/>
      <c r="J13" s="317">
        <f>AVERAGE(D67:INDEX(D67:H67,0,MATCH(Data!$B$3,$D$7:$H$7,0)))/AVERAGE($D$90:INDEX($D$90:$H$90,0,MATCH(Data!$B$3,$D$7:$H$7,0)))</f>
        <v>1.3437140142869594E-3</v>
      </c>
      <c r="K13" s="317">
        <f t="shared" si="1"/>
        <v>2.5142166008231454E-4</v>
      </c>
      <c r="L13" s="504"/>
      <c r="M13" s="505"/>
      <c r="N13" s="256"/>
      <c r="O13" s="256"/>
      <c r="P13" s="256"/>
      <c r="Q13" s="256"/>
      <c r="R13" s="256"/>
      <c r="S13" s="256"/>
      <c r="T13" s="256"/>
      <c r="U13" s="256"/>
      <c r="V13" s="256"/>
      <c r="W13" s="256"/>
    </row>
    <row r="14" spans="1:23">
      <c r="A14" s="342" t="s">
        <v>213</v>
      </c>
      <c r="B14" s="276" t="s">
        <v>110</v>
      </c>
      <c r="C14" s="277" t="s">
        <v>163</v>
      </c>
      <c r="D14" s="316">
        <f t="shared" si="0"/>
        <v>6.6806615621978226E-4</v>
      </c>
      <c r="E14" s="316">
        <f t="shared" si="0"/>
        <v>6.8163523842638767E-4</v>
      </c>
      <c r="F14" s="316">
        <f t="shared" si="0"/>
        <v>6.83680211979062E-4</v>
      </c>
      <c r="G14" s="316">
        <f t="shared" si="0"/>
        <v>6.8658002243294569E-4</v>
      </c>
      <c r="H14" s="316">
        <f t="shared" si="0"/>
        <v>6.9087292720408503E-4</v>
      </c>
      <c r="I14" s="278"/>
      <c r="J14" s="317">
        <f>AVERAGE(D68:INDEX(D68:H68,0,MATCH(Data!$B$3,$D$7:$H$7,0)))/AVERAGE($D$90:INDEX($D$90:$H$90,0,MATCH(Data!$B$3,$D$7:$H$7,0)))</f>
        <v>6.6806615621978226E-4</v>
      </c>
      <c r="K14" s="317">
        <f t="shared" si="1"/>
        <v>6.8250172860377818E-4</v>
      </c>
      <c r="L14" s="504"/>
      <c r="M14" s="505"/>
      <c r="N14" s="256"/>
      <c r="O14" s="256"/>
      <c r="P14" s="256"/>
      <c r="Q14" s="256"/>
      <c r="R14" s="256"/>
      <c r="S14" s="256"/>
      <c r="T14" s="256"/>
      <c r="U14" s="256"/>
      <c r="V14" s="256"/>
      <c r="W14" s="256"/>
    </row>
    <row r="15" spans="1:23">
      <c r="A15" s="342" t="s">
        <v>214</v>
      </c>
      <c r="B15" s="276" t="s">
        <v>111</v>
      </c>
      <c r="C15" s="277" t="s">
        <v>163</v>
      </c>
      <c r="D15" s="316">
        <f t="shared" si="0"/>
        <v>-2.2186059491035457E-5</v>
      </c>
      <c r="E15" s="316">
        <f t="shared" si="0"/>
        <v>1.4200734133883075E-4</v>
      </c>
      <c r="F15" s="316">
        <f t="shared" si="0"/>
        <v>1.6408325087497491E-4</v>
      </c>
      <c r="G15" s="316">
        <f t="shared" si="0"/>
        <v>1.8484846757810077E-4</v>
      </c>
      <c r="H15" s="316">
        <f t="shared" si="0"/>
        <v>2.0470308954195109E-4</v>
      </c>
      <c r="I15" s="278"/>
      <c r="J15" s="317">
        <f>AVERAGE(D69:INDEX(D69:H69,0,MATCH(Data!$B$3,$D$7:$H$7,0)))/AVERAGE($D$90:INDEX($D$90:$H$90,0,MATCH(Data!$B$3,$D$7:$H$7,0)))</f>
        <v>-2.2186059491035457E-5</v>
      </c>
      <c r="K15" s="317">
        <f t="shared" si="1"/>
        <v>1.3795667228578597E-4</v>
      </c>
      <c r="L15" s="504"/>
      <c r="M15" s="505"/>
      <c r="N15" s="256"/>
      <c r="O15" s="256"/>
      <c r="P15" s="256"/>
      <c r="Q15" s="256"/>
      <c r="R15" s="256"/>
      <c r="S15" s="256"/>
      <c r="T15" s="256"/>
      <c r="U15" s="256"/>
      <c r="V15" s="256"/>
      <c r="W15" s="256"/>
    </row>
    <row r="16" spans="1:23">
      <c r="A16" s="342" t="s">
        <v>215</v>
      </c>
      <c r="B16" s="276" t="s">
        <v>112</v>
      </c>
      <c r="C16" s="277" t="s">
        <v>163</v>
      </c>
      <c r="D16" s="316">
        <f t="shared" si="0"/>
        <v>-1.9716456590743716E-3</v>
      </c>
      <c r="E16" s="316">
        <f t="shared" si="0"/>
        <v>0</v>
      </c>
      <c r="F16" s="316">
        <f t="shared" si="0"/>
        <v>0</v>
      </c>
      <c r="G16" s="316">
        <f t="shared" si="0"/>
        <v>0</v>
      </c>
      <c r="H16" s="316">
        <f t="shared" si="0"/>
        <v>0</v>
      </c>
      <c r="I16" s="278"/>
      <c r="J16" s="317">
        <f>AVERAGE(D70:INDEX(D70:H70,0,MATCH(Data!$B$3,$D$7:$H$7,0)))/AVERAGE($D$90:INDEX($D$90:$H$90,0,MATCH(Data!$B$3,$D$7:$H$7,0)))</f>
        <v>-1.9716456590743716E-3</v>
      </c>
      <c r="K16" s="317">
        <f t="shared" si="1"/>
        <v>-3.6891363744659471E-4</v>
      </c>
      <c r="L16" s="504"/>
      <c r="M16" s="505"/>
      <c r="N16" s="256"/>
      <c r="O16" s="256"/>
      <c r="P16" s="256"/>
      <c r="Q16" s="256"/>
      <c r="R16" s="256"/>
      <c r="S16" s="256"/>
      <c r="T16" s="256"/>
      <c r="U16" s="256"/>
      <c r="V16" s="256"/>
      <c r="W16" s="256"/>
    </row>
    <row r="17" spans="1:23">
      <c r="A17" s="342" t="s">
        <v>216</v>
      </c>
      <c r="B17" s="276" t="s">
        <v>113</v>
      </c>
      <c r="C17" s="277" t="s">
        <v>163</v>
      </c>
      <c r="D17" s="316">
        <f t="shared" si="0"/>
        <v>0</v>
      </c>
      <c r="E17" s="316">
        <f t="shared" si="0"/>
        <v>0</v>
      </c>
      <c r="F17" s="316">
        <f t="shared" si="0"/>
        <v>0</v>
      </c>
      <c r="G17" s="316">
        <f t="shared" si="0"/>
        <v>0</v>
      </c>
      <c r="H17" s="316">
        <f t="shared" si="0"/>
        <v>0</v>
      </c>
      <c r="I17" s="278"/>
      <c r="J17" s="317">
        <f>AVERAGE(D71:INDEX(D71:H71,0,MATCH(Data!$B$3,$D$7:$H$7,0)))/AVERAGE($D$90:INDEX($D$90:$H$90,0,MATCH(Data!$B$3,$D$7:$H$7,0)))</f>
        <v>0</v>
      </c>
      <c r="K17" s="317">
        <f t="shared" si="1"/>
        <v>0</v>
      </c>
      <c r="L17" s="504"/>
      <c r="M17" s="505"/>
      <c r="N17" s="256"/>
      <c r="O17" s="256"/>
      <c r="P17" s="256"/>
      <c r="Q17" s="256"/>
      <c r="R17" s="256"/>
      <c r="S17" s="256"/>
      <c r="T17" s="256"/>
      <c r="U17" s="256"/>
      <c r="V17" s="256"/>
      <c r="W17" s="256"/>
    </row>
    <row r="18" spans="1:23">
      <c r="A18" s="342" t="s">
        <v>217</v>
      </c>
      <c r="B18" s="276" t="s">
        <v>114</v>
      </c>
      <c r="C18" s="277" t="s">
        <v>163</v>
      </c>
      <c r="D18" s="316">
        <f t="shared" si="0"/>
        <v>0</v>
      </c>
      <c r="E18" s="316">
        <f t="shared" si="0"/>
        <v>0</v>
      </c>
      <c r="F18" s="316">
        <f t="shared" si="0"/>
        <v>0</v>
      </c>
      <c r="G18" s="316">
        <f t="shared" si="0"/>
        <v>0</v>
      </c>
      <c r="H18" s="316">
        <f t="shared" si="0"/>
        <v>0</v>
      </c>
      <c r="I18" s="278"/>
      <c r="J18" s="317">
        <f>AVERAGE(D72:INDEX(D72:H72,0,MATCH(Data!$B$3,$D$7:$H$7,0)))/AVERAGE($D$90:INDEX($D$90:$H$90,0,MATCH(Data!$B$3,$D$7:$H$7,0)))</f>
        <v>0</v>
      </c>
      <c r="K18" s="317">
        <f t="shared" si="1"/>
        <v>0</v>
      </c>
      <c r="L18" s="504"/>
      <c r="M18" s="505"/>
      <c r="N18" s="256"/>
      <c r="O18" s="256"/>
      <c r="P18" s="256"/>
      <c r="Q18" s="256"/>
      <c r="R18" s="256"/>
      <c r="S18" s="256"/>
      <c r="T18" s="256"/>
      <c r="U18" s="256"/>
      <c r="V18" s="256"/>
      <c r="W18" s="256"/>
    </row>
    <row r="19" spans="1:23">
      <c r="A19" s="342" t="s">
        <v>218</v>
      </c>
      <c r="B19" s="276" t="s">
        <v>115</v>
      </c>
      <c r="C19" s="277" t="s">
        <v>163</v>
      </c>
      <c r="D19" s="316">
        <f t="shared" si="0"/>
        <v>1.7427386541817393E-3</v>
      </c>
      <c r="E19" s="316">
        <f t="shared" si="0"/>
        <v>4.856651073788012E-4</v>
      </c>
      <c r="F19" s="316">
        <f t="shared" si="0"/>
        <v>4.6763726499367844E-4</v>
      </c>
      <c r="G19" s="316">
        <f t="shared" si="0"/>
        <v>4.5155839936936041E-4</v>
      </c>
      <c r="H19" s="316">
        <f t="shared" si="0"/>
        <v>4.3755285389592057E-4</v>
      </c>
      <c r="I19" s="278"/>
      <c r="J19" s="317">
        <f>AVERAGE(D73:INDEX(D73:H73,0,MATCH(Data!$B$3,$D$7:$H$7,0)))/AVERAGE($D$90:INDEX($D$90:$H$90,0,MATCH(Data!$B$3,$D$7:$H$7,0)))</f>
        <v>1.7427386541817393E-3</v>
      </c>
      <c r="K19" s="317">
        <f t="shared" si="1"/>
        <v>6.9993603891611324E-4</v>
      </c>
      <c r="L19" s="504"/>
      <c r="M19" s="505"/>
      <c r="N19" s="256"/>
      <c r="O19" s="256"/>
      <c r="P19" s="256"/>
      <c r="Q19" s="256"/>
      <c r="R19" s="256"/>
      <c r="S19" s="256"/>
      <c r="T19" s="256"/>
      <c r="U19" s="256"/>
      <c r="V19" s="256"/>
      <c r="W19" s="256"/>
    </row>
    <row r="20" spans="1:23">
      <c r="A20" s="342" t="s">
        <v>219</v>
      </c>
      <c r="B20" s="276" t="s">
        <v>118</v>
      </c>
      <c r="C20" s="277" t="s">
        <v>163</v>
      </c>
      <c r="D20" s="316">
        <f t="shared" si="0"/>
        <v>-4.0503954261241762E-6</v>
      </c>
      <c r="E20" s="316">
        <f t="shared" si="0"/>
        <v>-5.357682680176793E-5</v>
      </c>
      <c r="F20" s="316">
        <f t="shared" si="0"/>
        <v>-5.1588060109653178E-5</v>
      </c>
      <c r="G20" s="316">
        <f t="shared" si="0"/>
        <v>-4.9814297519681724E-5</v>
      </c>
      <c r="H20" s="316">
        <f t="shared" si="0"/>
        <v>-4.8269256147151106E-5</v>
      </c>
      <c r="I20" s="278"/>
      <c r="J20" s="317">
        <f>AVERAGE(D74:INDEX(D74:H74,0,MATCH(Data!$B$3,$D$7:$H$7,0)))/AVERAGE($D$90:INDEX($D$90:$H$90,0,MATCH(Data!$B$3,$D$7:$H$7,0)))</f>
        <v>-4.0503954261241762E-6</v>
      </c>
      <c r="K20" s="317">
        <f t="shared" si="1"/>
        <v>-4.1999993496536242E-5</v>
      </c>
      <c r="L20" s="504"/>
      <c r="M20" s="505"/>
      <c r="N20" s="256"/>
      <c r="O20" s="256"/>
      <c r="P20" s="256"/>
      <c r="Q20" s="256"/>
      <c r="R20" s="256"/>
      <c r="S20" s="256"/>
      <c r="T20" s="256"/>
      <c r="U20" s="256"/>
      <c r="V20" s="256"/>
      <c r="W20" s="256"/>
    </row>
    <row r="21" spans="1:23">
      <c r="A21" s="342" t="s">
        <v>220</v>
      </c>
      <c r="B21" s="276" t="s">
        <v>119</v>
      </c>
      <c r="C21" s="277" t="s">
        <v>163</v>
      </c>
      <c r="D21" s="316">
        <f t="shared" si="0"/>
        <v>-5.1053869159798347E-5</v>
      </c>
      <c r="E21" s="316">
        <f t="shared" si="0"/>
        <v>0</v>
      </c>
      <c r="F21" s="316">
        <f t="shared" si="0"/>
        <v>0</v>
      </c>
      <c r="G21" s="316">
        <f t="shared" si="0"/>
        <v>0</v>
      </c>
      <c r="H21" s="316">
        <f t="shared" si="0"/>
        <v>0</v>
      </c>
      <c r="I21" s="278"/>
      <c r="J21" s="317">
        <f>AVERAGE(D75:INDEX(D75:H75,0,MATCH(Data!$B$3,$D$7:$H$7,0)))/AVERAGE($D$90:INDEX($D$90:$H$90,0,MATCH(Data!$B$3,$D$7:$H$7,0)))</f>
        <v>-5.1053869159798347E-5</v>
      </c>
      <c r="K21" s="317">
        <f t="shared" si="1"/>
        <v>-9.5526640351319238E-6</v>
      </c>
      <c r="L21" s="504"/>
      <c r="M21" s="505"/>
      <c r="N21" s="256"/>
      <c r="O21" s="256"/>
      <c r="P21" s="256"/>
      <c r="Q21" s="256"/>
      <c r="R21" s="256"/>
      <c r="S21" s="256"/>
      <c r="T21" s="256"/>
      <c r="U21" s="256"/>
      <c r="V21" s="256"/>
      <c r="W21" s="256"/>
    </row>
    <row r="22" spans="1:23">
      <c r="A22" s="342" t="s">
        <v>221</v>
      </c>
      <c r="B22" s="276" t="s">
        <v>120</v>
      </c>
      <c r="C22" s="277" t="s">
        <v>163</v>
      </c>
      <c r="D22" s="316">
        <f t="shared" si="0"/>
        <v>-2.4879525198757592E-5</v>
      </c>
      <c r="E22" s="316">
        <f t="shared" si="0"/>
        <v>0</v>
      </c>
      <c r="F22" s="316">
        <f t="shared" si="0"/>
        <v>0</v>
      </c>
      <c r="G22" s="316">
        <f t="shared" si="0"/>
        <v>0</v>
      </c>
      <c r="H22" s="316">
        <f t="shared" si="0"/>
        <v>0</v>
      </c>
      <c r="I22" s="278"/>
      <c r="J22" s="317">
        <f>AVERAGE(D76:INDEX(D76:H76,0,MATCH(Data!$B$3,$D$7:$H$7,0)))/AVERAGE($D$90:INDEX($D$90:$H$90,0,MATCH(Data!$B$3,$D$7:$H$7,0)))</f>
        <v>-2.4879525198757592E-5</v>
      </c>
      <c r="K22" s="317">
        <f t="shared" si="1"/>
        <v>-4.6551955706518051E-6</v>
      </c>
      <c r="L22" s="504"/>
      <c r="M22" s="505"/>
      <c r="N22" s="256"/>
      <c r="O22" s="256"/>
      <c r="P22" s="256"/>
      <c r="Q22" s="256"/>
      <c r="R22" s="256"/>
      <c r="S22" s="256"/>
      <c r="T22" s="256"/>
      <c r="U22" s="256"/>
      <c r="V22" s="256"/>
      <c r="W22" s="256"/>
    </row>
    <row r="23" spans="1:23">
      <c r="A23" s="342" t="s">
        <v>222</v>
      </c>
      <c r="B23" s="276">
        <v>0</v>
      </c>
      <c r="C23" s="277" t="s">
        <v>163</v>
      </c>
      <c r="D23" s="316">
        <f t="shared" si="0"/>
        <v>0</v>
      </c>
      <c r="E23" s="316">
        <f t="shared" si="0"/>
        <v>0</v>
      </c>
      <c r="F23" s="316">
        <f t="shared" si="0"/>
        <v>0</v>
      </c>
      <c r="G23" s="316">
        <f t="shared" si="0"/>
        <v>0</v>
      </c>
      <c r="H23" s="316">
        <f t="shared" si="0"/>
        <v>0</v>
      </c>
      <c r="I23" s="278"/>
      <c r="J23" s="317">
        <f>AVERAGE(D77:INDEX(D77:H77,0,MATCH(Data!$B$3,$D$7:$H$7,0)))/AVERAGE($D$90:INDEX($D$90:$H$90,0,MATCH(Data!$B$3,$D$7:$H$7,0)))</f>
        <v>0</v>
      </c>
      <c r="K23" s="317">
        <f t="shared" si="1"/>
        <v>0</v>
      </c>
      <c r="L23" s="504"/>
      <c r="M23" s="505"/>
      <c r="N23" s="256"/>
      <c r="O23" s="256"/>
      <c r="P23" s="256"/>
      <c r="Q23" s="256"/>
      <c r="R23" s="256"/>
      <c r="S23" s="256"/>
      <c r="T23" s="256"/>
      <c r="U23" s="256"/>
      <c r="V23" s="256"/>
      <c r="W23" s="256"/>
    </row>
    <row r="24" spans="1:23">
      <c r="A24" s="342" t="s">
        <v>223</v>
      </c>
      <c r="B24" s="276">
        <v>0</v>
      </c>
      <c r="C24" s="277" t="s">
        <v>163</v>
      </c>
      <c r="D24" s="316">
        <f t="shared" si="0"/>
        <v>0</v>
      </c>
      <c r="E24" s="316">
        <f t="shared" si="0"/>
        <v>0</v>
      </c>
      <c r="F24" s="316">
        <f t="shared" si="0"/>
        <v>0</v>
      </c>
      <c r="G24" s="316">
        <f t="shared" si="0"/>
        <v>0</v>
      </c>
      <c r="H24" s="316">
        <f t="shared" si="0"/>
        <v>0</v>
      </c>
      <c r="I24" s="278"/>
      <c r="J24" s="317">
        <f>AVERAGE(D78:INDEX(D78:H78,0,MATCH(Data!$B$3,$D$7:$H$7,0)))/AVERAGE($D$90:INDEX($D$90:$H$90,0,MATCH(Data!$B$3,$D$7:$H$7,0)))</f>
        <v>0</v>
      </c>
      <c r="K24" s="317">
        <f t="shared" si="1"/>
        <v>0</v>
      </c>
      <c r="L24" s="504"/>
      <c r="M24" s="505"/>
      <c r="N24" s="256"/>
      <c r="O24" s="256"/>
      <c r="P24" s="256"/>
      <c r="Q24" s="256"/>
      <c r="R24" s="256"/>
      <c r="S24" s="256"/>
      <c r="T24" s="256"/>
      <c r="U24" s="256"/>
      <c r="V24" s="256"/>
      <c r="W24" s="256"/>
    </row>
    <row r="25" spans="1:23">
      <c r="A25" s="342" t="s">
        <v>224</v>
      </c>
      <c r="B25" s="276">
        <v>0</v>
      </c>
      <c r="C25" s="277" t="s">
        <v>163</v>
      </c>
      <c r="D25" s="316">
        <f t="shared" si="0"/>
        <v>0</v>
      </c>
      <c r="E25" s="316">
        <f t="shared" si="0"/>
        <v>0</v>
      </c>
      <c r="F25" s="316">
        <f t="shared" si="0"/>
        <v>0</v>
      </c>
      <c r="G25" s="316">
        <f t="shared" si="0"/>
        <v>0</v>
      </c>
      <c r="H25" s="316">
        <f t="shared" si="0"/>
        <v>0</v>
      </c>
      <c r="I25" s="278"/>
      <c r="J25" s="317">
        <f>AVERAGE(D79:INDEX(D79:H79,0,MATCH(Data!$B$3,$D$7:$H$7,0)))/AVERAGE($D$90:INDEX($D$90:$H$90,0,MATCH(Data!$B$3,$D$7:$H$7,0)))</f>
        <v>0</v>
      </c>
      <c r="K25" s="317">
        <f t="shared" si="1"/>
        <v>0</v>
      </c>
      <c r="L25" s="504"/>
      <c r="M25" s="505"/>
      <c r="N25" s="256"/>
      <c r="O25" s="256"/>
      <c r="P25" s="256"/>
      <c r="Q25" s="256"/>
      <c r="R25" s="256"/>
      <c r="S25" s="256"/>
      <c r="T25" s="256"/>
      <c r="U25" s="256"/>
      <c r="V25" s="256"/>
      <c r="W25" s="256"/>
    </row>
    <row r="26" spans="1:23">
      <c r="A26" s="342" t="s">
        <v>225</v>
      </c>
      <c r="B26" s="276">
        <v>0</v>
      </c>
      <c r="C26" s="277" t="s">
        <v>163</v>
      </c>
      <c r="D26" s="316">
        <f t="shared" si="0"/>
        <v>0</v>
      </c>
      <c r="E26" s="316">
        <f t="shared" si="0"/>
        <v>0</v>
      </c>
      <c r="F26" s="316">
        <f t="shared" si="0"/>
        <v>0</v>
      </c>
      <c r="G26" s="316">
        <f t="shared" si="0"/>
        <v>0</v>
      </c>
      <c r="H26" s="316">
        <f t="shared" si="0"/>
        <v>0</v>
      </c>
      <c r="I26" s="278"/>
      <c r="J26" s="317">
        <f>AVERAGE(D80:INDEX(D80:H80,0,MATCH(Data!$B$3,$D$7:$H$7,0)))/AVERAGE($D$90:INDEX($D$90:$H$90,0,MATCH(Data!$B$3,$D$7:$H$7,0)))</f>
        <v>0</v>
      </c>
      <c r="K26" s="317">
        <f t="shared" si="1"/>
        <v>0</v>
      </c>
      <c r="L26" s="504"/>
      <c r="M26" s="505"/>
      <c r="N26" s="256"/>
      <c r="O26" s="256"/>
      <c r="P26" s="256"/>
      <c r="Q26" s="256"/>
      <c r="R26" s="256"/>
      <c r="S26" s="256"/>
      <c r="T26" s="256"/>
      <c r="U26" s="256"/>
      <c r="V26" s="256"/>
      <c r="W26" s="256"/>
    </row>
    <row r="27" spans="1:23">
      <c r="A27" s="342" t="s">
        <v>226</v>
      </c>
      <c r="B27" s="276">
        <v>0</v>
      </c>
      <c r="C27" s="277" t="s">
        <v>163</v>
      </c>
      <c r="D27" s="316">
        <f t="shared" ref="D27:H28" si="2">D81/D$90</f>
        <v>0</v>
      </c>
      <c r="E27" s="316">
        <f t="shared" si="2"/>
        <v>0</v>
      </c>
      <c r="F27" s="316">
        <f t="shared" si="2"/>
        <v>0</v>
      </c>
      <c r="G27" s="316">
        <f t="shared" si="2"/>
        <v>0</v>
      </c>
      <c r="H27" s="316">
        <f t="shared" si="2"/>
        <v>0</v>
      </c>
      <c r="I27" s="278"/>
      <c r="J27" s="317">
        <f>AVERAGE(D81:INDEX(D81:H81,0,MATCH(Data!$B$3,$D$7:$H$7,0)))/AVERAGE($D$90:INDEX($D$90:$H$90,0,MATCH(Data!$B$3,$D$7:$H$7,0)))</f>
        <v>0</v>
      </c>
      <c r="K27" s="317">
        <f t="shared" si="1"/>
        <v>0</v>
      </c>
      <c r="L27" s="504"/>
      <c r="M27" s="505"/>
      <c r="N27" s="256"/>
      <c r="O27" s="256"/>
      <c r="P27" s="256"/>
      <c r="Q27" s="256"/>
      <c r="R27" s="256"/>
      <c r="S27" s="256"/>
      <c r="T27" s="256"/>
      <c r="U27" s="256"/>
      <c r="V27" s="256"/>
      <c r="W27" s="256"/>
    </row>
    <row r="28" spans="1:23">
      <c r="A28" s="342"/>
      <c r="B28" s="276" t="s">
        <v>121</v>
      </c>
      <c r="C28" s="277" t="s">
        <v>163</v>
      </c>
      <c r="D28" s="316">
        <f t="shared" si="2"/>
        <v>-8.5112877193283039E-5</v>
      </c>
      <c r="E28" s="316">
        <f t="shared" si="2"/>
        <v>0</v>
      </c>
      <c r="F28" s="316">
        <f t="shared" si="2"/>
        <v>0</v>
      </c>
      <c r="G28" s="316">
        <f t="shared" si="2"/>
        <v>0</v>
      </c>
      <c r="H28" s="316">
        <f t="shared" si="2"/>
        <v>0</v>
      </c>
      <c r="I28" s="278"/>
      <c r="J28" s="317">
        <f>AVERAGE(D82:INDEX(D82:H82,0,MATCH(Data!$B$3,$D$7:$H$7,0)))/AVERAGE($D$90:INDEX($D$90:$H$90,0,MATCH(Data!$B$3,$D$7:$H$7,0)))</f>
        <v>-8.5112877193283039E-5</v>
      </c>
      <c r="K28" s="317">
        <f t="shared" si="1"/>
        <v>-1.5925428067871173E-5</v>
      </c>
      <c r="L28" s="504"/>
      <c r="M28" s="505"/>
      <c r="N28" s="256"/>
      <c r="O28" s="256"/>
      <c r="P28" s="256"/>
      <c r="Q28" s="256"/>
      <c r="R28" s="256"/>
      <c r="S28" s="256"/>
      <c r="T28" s="256"/>
      <c r="U28" s="256"/>
      <c r="V28" s="256"/>
      <c r="W28" s="256"/>
    </row>
    <row r="29" spans="1:23">
      <c r="A29" s="342"/>
      <c r="B29" s="279" t="s">
        <v>122</v>
      </c>
      <c r="C29" s="281" t="s">
        <v>163</v>
      </c>
      <c r="D29" s="324">
        <f>SUM(D11:D28)</f>
        <v>5.7760466764458569E-2</v>
      </c>
      <c r="E29" s="324">
        <f t="shared" ref="E29:H29" si="3">SUM(E11:E28)</f>
        <v>6.1656851127612072E-2</v>
      </c>
      <c r="F29" s="324">
        <f t="shared" si="3"/>
        <v>6.2053563054697891E-2</v>
      </c>
      <c r="G29" s="324">
        <f t="shared" si="3"/>
        <v>6.3981397140185789E-2</v>
      </c>
      <c r="H29" s="324">
        <f t="shared" si="3"/>
        <v>6.4112046352749474E-2</v>
      </c>
      <c r="I29" s="287"/>
      <c r="J29" s="151">
        <f>SUM(J11:J28)</f>
        <v>5.7760466764458569E-2</v>
      </c>
      <c r="K29" s="151">
        <f>SUM(K11:K28)</f>
        <v>6.2012662384595248E-2</v>
      </c>
      <c r="L29" s="514"/>
      <c r="M29" s="505"/>
      <c r="N29" s="256"/>
      <c r="O29" s="256"/>
      <c r="P29" s="256"/>
      <c r="Q29" s="256"/>
      <c r="R29" s="256"/>
      <c r="S29" s="256"/>
      <c r="T29" s="256"/>
      <c r="U29" s="256"/>
      <c r="V29" s="256"/>
      <c r="W29" s="256"/>
    </row>
    <row r="30" spans="1:23">
      <c r="A30" s="342"/>
      <c r="B30" s="276" t="s">
        <v>123</v>
      </c>
      <c r="C30" s="277" t="s">
        <v>163</v>
      </c>
      <c r="D30" s="316">
        <f>D84/D$90</f>
        <v>7.7874146821491061E-2</v>
      </c>
      <c r="E30" s="316">
        <f t="shared" ref="E30:H30" si="4">E84/E$90</f>
        <v>1.1646428966434086E-2</v>
      </c>
      <c r="F30" s="316">
        <f t="shared" si="4"/>
        <v>-2.1911058904562899E-3</v>
      </c>
      <c r="G30" s="316">
        <f t="shared" si="4"/>
        <v>-3.27867446221664E-3</v>
      </c>
      <c r="H30" s="316">
        <f t="shared" si="4"/>
        <v>1.22177953032556E-3</v>
      </c>
      <c r="I30" s="194"/>
      <c r="J30" s="317">
        <f>AVERAGE(D84:INDEX(D84:H84,0,MATCH(Data!$B$3,$D$7:$H$7,0)))/AVERAGE($D$90:INDEX($D$90:$H$90,0,MATCH(Data!$B$3,$D$7:$H$7,0)))</f>
        <v>7.7874146821491061E-2</v>
      </c>
      <c r="K30" s="285">
        <f>AVERAGE(D84:H84)/AVERAGE($D$90:$H$90)</f>
        <v>1.5956715852359218E-2</v>
      </c>
      <c r="L30" s="504"/>
      <c r="M30" s="505"/>
      <c r="N30" s="256"/>
      <c r="O30" s="256"/>
      <c r="P30" s="256"/>
      <c r="Q30" s="256"/>
      <c r="R30" s="256"/>
      <c r="S30" s="256"/>
      <c r="T30" s="256"/>
      <c r="U30" s="256"/>
      <c r="V30" s="256"/>
      <c r="W30" s="256"/>
    </row>
    <row r="31" spans="1:23">
      <c r="A31" s="342"/>
      <c r="B31" s="276" t="s">
        <v>124</v>
      </c>
      <c r="C31" s="277" t="s">
        <v>163</v>
      </c>
      <c r="D31" s="316">
        <f>D86/D$90</f>
        <v>2.5541757382453404E-3</v>
      </c>
      <c r="E31" s="316">
        <f t="shared" ref="E31:H31" si="5">E86/E$90</f>
        <v>2.2403262714929678E-3</v>
      </c>
      <c r="F31" s="316">
        <f t="shared" si="5"/>
        <v>1.4413598833530397E-3</v>
      </c>
      <c r="G31" s="316">
        <f t="shared" si="5"/>
        <v>1.1270561794281572E-3</v>
      </c>
      <c r="H31" s="316">
        <f t="shared" si="5"/>
        <v>1.3033355629886996E-3</v>
      </c>
      <c r="I31" s="194"/>
      <c r="J31" s="317">
        <f>AVERAGE(D86:INDEX(D86:H86,0,MATCH(Data!$B$3,$D$7:$H$7,0)))/AVERAGE($D$90:INDEX($D$90:$H$90,0,MATCH(Data!$B$3,$D$7:$H$7,0)))</f>
        <v>2.5541757382453404E-3</v>
      </c>
      <c r="K31" s="285">
        <f>AVERAGE(D86:H86)/AVERAGE($D$90:$H$90)</f>
        <v>1.708797482442992E-3</v>
      </c>
      <c r="L31" s="504"/>
      <c r="M31" s="505"/>
      <c r="N31" s="256"/>
      <c r="O31" s="256"/>
      <c r="P31" s="256"/>
      <c r="Q31" s="256"/>
      <c r="R31" s="256"/>
      <c r="S31" s="256"/>
      <c r="T31" s="256"/>
      <c r="U31" s="256"/>
      <c r="V31" s="256"/>
      <c r="W31" s="256"/>
    </row>
    <row r="32" spans="1:23">
      <c r="A32" s="342"/>
      <c r="B32" s="279" t="s">
        <v>125</v>
      </c>
      <c r="C32" s="281" t="s">
        <v>163</v>
      </c>
      <c r="D32" s="151">
        <f>SUM(D29:D31)</f>
        <v>0.13818878932419498</v>
      </c>
      <c r="E32" s="325">
        <f t="shared" ref="E32:K32" si="6">SUM(E29:E31)</f>
        <v>7.5543606365539126E-2</v>
      </c>
      <c r="F32" s="325">
        <f t="shared" si="6"/>
        <v>6.130381704759464E-2</v>
      </c>
      <c r="G32" s="325">
        <f t="shared" si="6"/>
        <v>6.1829778857397301E-2</v>
      </c>
      <c r="H32" s="325">
        <f t="shared" si="6"/>
        <v>6.6637161446063728E-2</v>
      </c>
      <c r="I32" s="287"/>
      <c r="J32" s="325">
        <f t="shared" si="6"/>
        <v>0.13818878932419498</v>
      </c>
      <c r="K32" s="325">
        <f t="shared" si="6"/>
        <v>7.9678175719397448E-2</v>
      </c>
      <c r="L32" s="514"/>
      <c r="M32" s="505"/>
      <c r="N32" s="256"/>
      <c r="O32" s="256"/>
      <c r="P32" s="256"/>
      <c r="Q32" s="256"/>
      <c r="R32" s="256"/>
      <c r="S32" s="256"/>
      <c r="T32" s="256"/>
      <c r="U32" s="256"/>
      <c r="V32" s="256"/>
      <c r="W32" s="256"/>
    </row>
    <row r="33" spans="1:23">
      <c r="A33" s="342"/>
      <c r="B33" s="265"/>
      <c r="C33" s="256"/>
      <c r="D33" s="278"/>
      <c r="E33" s="278"/>
      <c r="F33" s="278"/>
      <c r="G33" s="278"/>
      <c r="H33" s="278"/>
      <c r="I33" s="278"/>
      <c r="J33" s="278"/>
      <c r="K33" s="278"/>
      <c r="L33" s="505"/>
      <c r="M33" s="505"/>
      <c r="N33" s="256"/>
      <c r="O33" s="256"/>
      <c r="P33" s="256"/>
      <c r="Q33" s="256"/>
      <c r="R33" s="256"/>
      <c r="S33" s="256"/>
      <c r="T33" s="256"/>
      <c r="U33" s="256"/>
      <c r="V33" s="256"/>
      <c r="W33" s="256"/>
    </row>
    <row r="34" spans="1:23">
      <c r="A34" s="342"/>
      <c r="B34" s="265"/>
      <c r="C34" s="256"/>
      <c r="D34" s="278"/>
      <c r="E34" s="278"/>
      <c r="F34" s="278"/>
      <c r="G34" s="278"/>
      <c r="H34" s="278"/>
      <c r="I34" s="518"/>
      <c r="J34" s="518"/>
      <c r="K34" s="278"/>
      <c r="L34" s="505"/>
      <c r="M34" s="505"/>
      <c r="N34" s="256"/>
      <c r="O34" s="256"/>
      <c r="P34" s="256"/>
      <c r="Q34" s="256"/>
      <c r="R34" s="256"/>
      <c r="S34" s="256"/>
      <c r="T34" s="256"/>
      <c r="U34" s="256"/>
      <c r="V34" s="256"/>
      <c r="W34" s="256"/>
    </row>
    <row r="35" spans="1:23">
      <c r="A35" s="342"/>
      <c r="B35" s="265"/>
      <c r="C35" s="256"/>
      <c r="D35" s="278"/>
      <c r="E35" s="278"/>
      <c r="F35" s="278"/>
      <c r="G35" s="278"/>
      <c r="H35" s="278"/>
      <c r="I35" s="518"/>
      <c r="J35" s="518"/>
      <c r="K35" s="278"/>
      <c r="L35" s="505"/>
      <c r="M35" s="505"/>
      <c r="N35" s="256"/>
      <c r="O35" s="256"/>
      <c r="P35" s="256"/>
      <c r="Q35" s="256"/>
      <c r="R35" s="256"/>
      <c r="S35" s="256"/>
      <c r="T35" s="256"/>
      <c r="U35" s="256"/>
      <c r="V35" s="256"/>
      <c r="W35" s="256"/>
    </row>
    <row r="36" spans="1:23">
      <c r="A36" s="342"/>
      <c r="B36" s="273" t="s">
        <v>57</v>
      </c>
      <c r="C36" s="274"/>
      <c r="D36" s="320"/>
      <c r="E36" s="320"/>
      <c r="F36" s="320"/>
      <c r="G36" s="320"/>
      <c r="H36" s="320"/>
      <c r="I36" s="519"/>
      <c r="J36" s="519"/>
      <c r="K36" s="320"/>
      <c r="L36" s="513"/>
      <c r="M36" s="513"/>
      <c r="N36" s="256"/>
      <c r="O36" s="256"/>
      <c r="P36" s="256"/>
      <c r="Q36" s="256"/>
      <c r="R36" s="256"/>
      <c r="S36" s="256"/>
      <c r="T36" s="256"/>
      <c r="U36" s="256"/>
      <c r="V36" s="256"/>
      <c r="W36" s="256"/>
    </row>
    <row r="37" spans="1:23">
      <c r="A37" s="342"/>
      <c r="B37" s="275"/>
      <c r="C37" s="256"/>
      <c r="D37" s="278"/>
      <c r="E37" s="278"/>
      <c r="F37" s="278"/>
      <c r="G37" s="278"/>
      <c r="H37" s="278"/>
      <c r="I37" s="515"/>
      <c r="J37" s="515"/>
      <c r="K37" s="278"/>
      <c r="L37" s="505"/>
      <c r="M37" s="505"/>
      <c r="N37" s="256"/>
      <c r="O37" s="256"/>
      <c r="P37" s="256"/>
      <c r="Q37" s="256"/>
      <c r="R37" s="256"/>
      <c r="S37" s="256"/>
      <c r="T37" s="256"/>
      <c r="U37" s="256"/>
      <c r="V37" s="256"/>
      <c r="W37" s="256"/>
    </row>
    <row r="38" spans="1:23">
      <c r="A38" s="342"/>
      <c r="B38" s="276" t="s">
        <v>107</v>
      </c>
      <c r="C38" s="277" t="s">
        <v>163</v>
      </c>
      <c r="D38" s="282">
        <f t="shared" ref="D38:H53" si="7">D65/D$91</f>
        <v>4.3020543012072102E-2</v>
      </c>
      <c r="E38" s="283">
        <f t="shared" si="7"/>
        <v>5.0477581170944447E-2</v>
      </c>
      <c r="F38" s="283">
        <f t="shared" si="7"/>
        <v>5.4869319895469275E-2</v>
      </c>
      <c r="G38" s="283">
        <f t="shared" si="7"/>
        <v>5.4883374118691097E-2</v>
      </c>
      <c r="H38" s="283">
        <f t="shared" si="7"/>
        <v>5.4997590430804773E-2</v>
      </c>
      <c r="I38" s="194"/>
      <c r="J38" s="284">
        <f>AVERAGE(D65:INDEX(D65:H65,0,MATCH(Data!$B$3,$D$7:$H$7,0)))/AVERAGE($D$91:INDEX($D$91:$H$91,0,MATCH(Data!$B$3,$D$7:$H$7,0)))</f>
        <v>4.3020543012072102E-2</v>
      </c>
      <c r="K38" s="285">
        <f t="shared" ref="K38:K55" si="8">AVERAGE(D65:H65)/AVERAGE($D$91:$H$91)</f>
        <v>5.147237619162099E-2</v>
      </c>
      <c r="L38" s="504"/>
      <c r="M38" s="505"/>
      <c r="N38" s="256"/>
      <c r="O38" s="256"/>
      <c r="P38" s="256"/>
      <c r="Q38" s="256"/>
      <c r="R38" s="256"/>
      <c r="S38" s="256"/>
      <c r="T38" s="256"/>
      <c r="U38" s="256"/>
      <c r="V38" s="256"/>
      <c r="W38" s="256"/>
    </row>
    <row r="39" spans="1:23">
      <c r="A39" s="342"/>
      <c r="B39" s="276" t="s">
        <v>108</v>
      </c>
      <c r="C39" s="277" t="s">
        <v>163</v>
      </c>
      <c r="D39" s="282">
        <f t="shared" si="7"/>
        <v>2.7122434276617559E-3</v>
      </c>
      <c r="E39" s="283">
        <f t="shared" si="7"/>
        <v>4.0884583791401278E-3</v>
      </c>
      <c r="F39" s="283">
        <f t="shared" si="7"/>
        <v>5.5831757480682958E-3</v>
      </c>
      <c r="G39" s="283">
        <f t="shared" si="7"/>
        <v>7.3296177579128888E-3</v>
      </c>
      <c r="H39" s="283">
        <f t="shared" si="7"/>
        <v>7.2729372926490753E-3</v>
      </c>
      <c r="I39" s="194"/>
      <c r="J39" s="284">
        <f>AVERAGE(D66:INDEX(D66:H66,0,MATCH(Data!$B$3,$D$7:$H$7,0)))/AVERAGE($D$91:INDEX($D$91:$H$91,0,MATCH(Data!$B$3,$D$7:$H$7,0)))</f>
        <v>2.7122434276617559E-3</v>
      </c>
      <c r="K39" s="285">
        <f t="shared" si="8"/>
        <v>5.3494518322583333E-3</v>
      </c>
      <c r="L39" s="504"/>
      <c r="M39" s="505"/>
      <c r="N39" s="256"/>
      <c r="O39" s="256"/>
      <c r="P39" s="256"/>
      <c r="Q39" s="256"/>
      <c r="R39" s="256"/>
      <c r="S39" s="256"/>
      <c r="T39" s="256"/>
      <c r="U39" s="256"/>
      <c r="V39" s="256"/>
      <c r="W39" s="256"/>
    </row>
    <row r="40" spans="1:23">
      <c r="A40" s="342" t="s">
        <v>212</v>
      </c>
      <c r="B40" s="276" t="s">
        <v>109</v>
      </c>
      <c r="C40" s="277" t="s">
        <v>163</v>
      </c>
      <c r="D40" s="282">
        <f t="shared" si="7"/>
        <v>1.0941319570531437E-3</v>
      </c>
      <c r="E40" s="283">
        <f t="shared" si="7"/>
        <v>0</v>
      </c>
      <c r="F40" s="283">
        <f t="shared" si="7"/>
        <v>0</v>
      </c>
      <c r="G40" s="283">
        <f t="shared" si="7"/>
        <v>0</v>
      </c>
      <c r="H40" s="283">
        <f t="shared" si="7"/>
        <v>0</v>
      </c>
      <c r="I40" s="194"/>
      <c r="J40" s="284">
        <f>AVERAGE(D67:INDEX(D67:H67,0,MATCH(Data!$B$3,$D$7:$H$7,0)))/AVERAGE($D$91:INDEX($D$91:$H$91,0,MATCH(Data!$B$3,$D$7:$H$7,0)))</f>
        <v>1.0941319570531437E-3</v>
      </c>
      <c r="K40" s="285">
        <f t="shared" si="8"/>
        <v>2.354283555855332E-4</v>
      </c>
      <c r="L40" s="504"/>
      <c r="M40" s="505"/>
      <c r="N40" s="256"/>
      <c r="O40" s="256"/>
      <c r="P40" s="256"/>
      <c r="Q40" s="256"/>
      <c r="R40" s="256"/>
      <c r="S40" s="256"/>
      <c r="T40" s="256"/>
      <c r="U40" s="256"/>
      <c r="V40" s="256"/>
      <c r="W40" s="256"/>
    </row>
    <row r="41" spans="1:23">
      <c r="A41" s="342" t="s">
        <v>213</v>
      </c>
      <c r="B41" s="276" t="s">
        <v>110</v>
      </c>
      <c r="C41" s="277" t="s">
        <v>163</v>
      </c>
      <c r="D41" s="282">
        <f t="shared" si="7"/>
        <v>5.4397924199190621E-4</v>
      </c>
      <c r="E41" s="283">
        <f t="shared" si="7"/>
        <v>6.157855220917214E-4</v>
      </c>
      <c r="F41" s="283">
        <f t="shared" si="7"/>
        <v>6.7988723054705844E-4</v>
      </c>
      <c r="G41" s="283">
        <f t="shared" si="7"/>
        <v>6.8115781727072261E-4</v>
      </c>
      <c r="H41" s="283">
        <f t="shared" si="7"/>
        <v>6.8475168156225514E-4</v>
      </c>
      <c r="I41" s="194"/>
      <c r="J41" s="284">
        <f>AVERAGE(D68:INDEX(D68:H68,0,MATCH(Data!$B$3,$D$7:$H$7,0)))/AVERAGE($D$91:INDEX($D$91:$H$91,0,MATCH(Data!$B$3,$D$7:$H$7,0)))</f>
        <v>5.4397924199190621E-4</v>
      </c>
      <c r="K41" s="285">
        <f t="shared" si="8"/>
        <v>6.3908678192986729E-4</v>
      </c>
      <c r="L41" s="504"/>
      <c r="M41" s="505"/>
      <c r="N41" s="256"/>
      <c r="O41" s="256"/>
      <c r="P41" s="256"/>
      <c r="Q41" s="256"/>
      <c r="R41" s="256"/>
      <c r="S41" s="256"/>
      <c r="T41" s="256"/>
      <c r="U41" s="256"/>
      <c r="V41" s="256"/>
      <c r="W41" s="256"/>
    </row>
    <row r="42" spans="1:23">
      <c r="A42" s="342" t="s">
        <v>214</v>
      </c>
      <c r="B42" s="276" t="s">
        <v>111</v>
      </c>
      <c r="C42" s="277" t="s">
        <v>163</v>
      </c>
      <c r="D42" s="282">
        <f t="shared" si="7"/>
        <v>-1.806521062676073E-5</v>
      </c>
      <c r="E42" s="283">
        <f t="shared" si="7"/>
        <v>1.2828865043577528E-4</v>
      </c>
      <c r="F42" s="283">
        <f t="shared" si="7"/>
        <v>1.6317293533129405E-4</v>
      </c>
      <c r="G42" s="283">
        <f t="shared" si="7"/>
        <v>1.8338864311134837E-4</v>
      </c>
      <c r="H42" s="283">
        <f t="shared" si="7"/>
        <v>2.0288938712955705E-4</v>
      </c>
      <c r="I42" s="194"/>
      <c r="J42" s="284">
        <f>AVERAGE(D69:INDEX(D69:H69,0,MATCH(Data!$B$3,$D$7:$H$7,0)))/AVERAGE($D$91:INDEX($D$91:$H$91,0,MATCH(Data!$B$3,$D$7:$H$7,0)))</f>
        <v>-1.806521062676073E-5</v>
      </c>
      <c r="K42" s="285">
        <f t="shared" si="8"/>
        <v>1.2918104385939308E-4</v>
      </c>
      <c r="L42" s="504"/>
      <c r="M42" s="505"/>
      <c r="N42" s="256"/>
      <c r="O42" s="256"/>
      <c r="P42" s="256"/>
      <c r="Q42" s="256"/>
      <c r="R42" s="256"/>
      <c r="S42" s="256"/>
      <c r="T42" s="256"/>
      <c r="U42" s="256"/>
      <c r="V42" s="256"/>
      <c r="W42" s="256"/>
    </row>
    <row r="43" spans="1:23">
      <c r="A43" s="342" t="s">
        <v>215</v>
      </c>
      <c r="B43" s="276" t="s">
        <v>112</v>
      </c>
      <c r="C43" s="277" t="s">
        <v>163</v>
      </c>
      <c r="D43" s="282">
        <f t="shared" si="7"/>
        <v>-1.6054312901716036E-3</v>
      </c>
      <c r="E43" s="283">
        <f t="shared" si="7"/>
        <v>0</v>
      </c>
      <c r="F43" s="283">
        <f t="shared" si="7"/>
        <v>0</v>
      </c>
      <c r="G43" s="283">
        <f t="shared" si="7"/>
        <v>0</v>
      </c>
      <c r="H43" s="283">
        <f t="shared" si="7"/>
        <v>0</v>
      </c>
      <c r="I43" s="194"/>
      <c r="J43" s="284">
        <f>AVERAGE(D70:INDEX(D70:H70,0,MATCH(Data!$B$3,$D$7:$H$7,0)))/AVERAGE($D$91:INDEX($D$91:$H$91,0,MATCH(Data!$B$3,$D$7:$H$7,0)))</f>
        <v>-1.6054312901716036E-3</v>
      </c>
      <c r="K43" s="285">
        <f t="shared" si="8"/>
        <v>-3.4544649410354737E-4</v>
      </c>
      <c r="L43" s="504"/>
      <c r="M43" s="505"/>
      <c r="N43" s="256"/>
      <c r="O43" s="256"/>
      <c r="P43" s="256"/>
      <c r="Q43" s="256"/>
      <c r="R43" s="256"/>
      <c r="S43" s="256"/>
      <c r="T43" s="256"/>
      <c r="U43" s="256"/>
      <c r="V43" s="256"/>
      <c r="W43" s="256"/>
    </row>
    <row r="44" spans="1:23">
      <c r="A44" s="342" t="s">
        <v>216</v>
      </c>
      <c r="B44" s="276" t="s">
        <v>113</v>
      </c>
      <c r="C44" s="277" t="s">
        <v>163</v>
      </c>
      <c r="D44" s="282">
        <f t="shared" si="7"/>
        <v>0</v>
      </c>
      <c r="E44" s="283">
        <f t="shared" si="7"/>
        <v>0</v>
      </c>
      <c r="F44" s="283">
        <f t="shared" si="7"/>
        <v>0</v>
      </c>
      <c r="G44" s="283">
        <f t="shared" si="7"/>
        <v>0</v>
      </c>
      <c r="H44" s="283">
        <f t="shared" si="7"/>
        <v>0</v>
      </c>
      <c r="I44" s="194"/>
      <c r="J44" s="284">
        <f>AVERAGE(D71:INDEX(D71:H71,0,MATCH(Data!$B$3,$D$7:$H$7,0)))/AVERAGE($D$91:INDEX($D$91:$H$91,0,MATCH(Data!$B$3,$D$7:$H$7,0)))</f>
        <v>0</v>
      </c>
      <c r="K44" s="285">
        <f t="shared" si="8"/>
        <v>0</v>
      </c>
      <c r="L44" s="504"/>
      <c r="M44" s="505"/>
      <c r="N44" s="256"/>
      <c r="O44" s="256"/>
      <c r="P44" s="256"/>
      <c r="Q44" s="256"/>
      <c r="R44" s="256"/>
      <c r="S44" s="256"/>
      <c r="T44" s="256"/>
      <c r="U44" s="256"/>
      <c r="V44" s="256"/>
      <c r="W44" s="256"/>
    </row>
    <row r="45" spans="1:23">
      <c r="A45" s="342" t="s">
        <v>217</v>
      </c>
      <c r="B45" s="276" t="s">
        <v>114</v>
      </c>
      <c r="C45" s="277" t="s">
        <v>163</v>
      </c>
      <c r="D45" s="282">
        <f t="shared" si="7"/>
        <v>0</v>
      </c>
      <c r="E45" s="283">
        <f t="shared" si="7"/>
        <v>0</v>
      </c>
      <c r="F45" s="283">
        <f t="shared" si="7"/>
        <v>0</v>
      </c>
      <c r="G45" s="283">
        <f t="shared" si="7"/>
        <v>0</v>
      </c>
      <c r="H45" s="283">
        <f t="shared" si="7"/>
        <v>0</v>
      </c>
      <c r="I45" s="194"/>
      <c r="J45" s="284">
        <f>AVERAGE(D72:INDEX(D72:H72,0,MATCH(Data!$B$3,$D$7:$H$7,0)))/AVERAGE($D$91:INDEX($D$91:$H$91,0,MATCH(Data!$B$3,$D$7:$H$7,0)))</f>
        <v>0</v>
      </c>
      <c r="K45" s="285">
        <f t="shared" si="8"/>
        <v>0</v>
      </c>
      <c r="L45" s="504"/>
      <c r="M45" s="505"/>
      <c r="N45" s="256"/>
      <c r="O45" s="256"/>
      <c r="P45" s="256"/>
      <c r="Q45" s="256"/>
      <c r="R45" s="256"/>
      <c r="S45" s="256"/>
      <c r="T45" s="256"/>
      <c r="U45" s="256"/>
      <c r="V45" s="256"/>
      <c r="W45" s="256"/>
    </row>
    <row r="46" spans="1:23">
      <c r="A46" s="342" t="s">
        <v>218</v>
      </c>
      <c r="B46" s="276" t="s">
        <v>115</v>
      </c>
      <c r="C46" s="277" t="s">
        <v>163</v>
      </c>
      <c r="D46" s="282">
        <f t="shared" si="7"/>
        <v>1.4190415773432732E-3</v>
      </c>
      <c r="E46" s="283">
        <f t="shared" si="7"/>
        <v>4.3874718449035151E-4</v>
      </c>
      <c r="F46" s="283">
        <f t="shared" si="7"/>
        <v>4.6504286569418803E-4</v>
      </c>
      <c r="G46" s="283">
        <f t="shared" si="7"/>
        <v>4.4799225674343676E-4</v>
      </c>
      <c r="H46" s="283">
        <f t="shared" si="7"/>
        <v>4.3367606498942831E-4</v>
      </c>
      <c r="I46" s="194"/>
      <c r="J46" s="284">
        <f>AVERAGE(D73:INDEX(D73:H73,0,MATCH(Data!$B$3,$D$7:$H$7,0)))/AVERAGE($D$91:INDEX($D$91:$H$91,0,MATCH(Data!$B$3,$D$7:$H$7,0)))</f>
        <v>1.4190415773432732E-3</v>
      </c>
      <c r="K46" s="285">
        <f t="shared" si="8"/>
        <v>6.5541206991920407E-4</v>
      </c>
      <c r="L46" s="504"/>
      <c r="M46" s="505"/>
      <c r="N46" s="256"/>
      <c r="O46" s="256"/>
      <c r="P46" s="256"/>
      <c r="Q46" s="256"/>
      <c r="R46" s="256"/>
      <c r="S46" s="256"/>
      <c r="T46" s="256"/>
      <c r="U46" s="256"/>
      <c r="V46" s="256"/>
      <c r="W46" s="256"/>
    </row>
    <row r="47" spans="1:23">
      <c r="A47" s="342" t="s">
        <v>219</v>
      </c>
      <c r="B47" s="276" t="s">
        <v>118</v>
      </c>
      <c r="C47" s="277" t="s">
        <v>163</v>
      </c>
      <c r="D47" s="282">
        <f t="shared" si="7"/>
        <v>-3.2980731221859046E-6</v>
      </c>
      <c r="E47" s="283">
        <f t="shared" si="7"/>
        <v>-4.8401010400091432E-5</v>
      </c>
      <c r="F47" s="283">
        <f t="shared" si="7"/>
        <v>-5.1301855315832133E-5</v>
      </c>
      <c r="G47" s="283">
        <f t="shared" si="7"/>
        <v>-4.9420893499263819E-5</v>
      </c>
      <c r="H47" s="283">
        <f t="shared" si="7"/>
        <v>-4.7841582747035609E-5</v>
      </c>
      <c r="I47" s="194"/>
      <c r="J47" s="284">
        <f>AVERAGE(D74:INDEX(D74:H74,0,MATCH(Data!$B$3,$D$7:$H$7,0)))/AVERAGE($D$91:INDEX($D$91:$H$91,0,MATCH(Data!$B$3,$D$7:$H$7,0)))</f>
        <v>-3.2980731221859046E-6</v>
      </c>
      <c r="K47" s="285">
        <f t="shared" si="8"/>
        <v>-3.9328311650855079E-5</v>
      </c>
      <c r="L47" s="504"/>
      <c r="M47" s="505"/>
      <c r="N47" s="256"/>
      <c r="O47" s="256"/>
      <c r="P47" s="256"/>
      <c r="Q47" s="256"/>
      <c r="R47" s="256"/>
      <c r="S47" s="256"/>
      <c r="T47" s="256"/>
      <c r="U47" s="256"/>
      <c r="V47" s="256"/>
      <c r="W47" s="256"/>
    </row>
    <row r="48" spans="1:23">
      <c r="A48" s="342" t="s">
        <v>220</v>
      </c>
      <c r="B48" s="276" t="s">
        <v>119</v>
      </c>
      <c r="C48" s="277" t="s">
        <v>163</v>
      </c>
      <c r="D48" s="282">
        <f t="shared" si="7"/>
        <v>-4.157110008902243E-5</v>
      </c>
      <c r="E48" s="283">
        <f t="shared" si="7"/>
        <v>0</v>
      </c>
      <c r="F48" s="283">
        <f t="shared" si="7"/>
        <v>0</v>
      </c>
      <c r="G48" s="283">
        <f t="shared" si="7"/>
        <v>0</v>
      </c>
      <c r="H48" s="283">
        <f t="shared" si="7"/>
        <v>0</v>
      </c>
      <c r="I48" s="194"/>
      <c r="J48" s="284">
        <f>AVERAGE(D75:INDEX(D75:H75,0,MATCH(Data!$B$3,$D$7:$H$7,0)))/AVERAGE($D$91:INDEX($D$91:$H$91,0,MATCH(Data!$B$3,$D$7:$H$7,0)))</f>
        <v>-4.157110008902243E-5</v>
      </c>
      <c r="K48" s="285">
        <f t="shared" si="8"/>
        <v>-8.9450049153118674E-6</v>
      </c>
      <c r="L48" s="504"/>
      <c r="M48" s="505"/>
      <c r="N48" s="256"/>
      <c r="O48" s="256"/>
      <c r="P48" s="256"/>
      <c r="Q48" s="256"/>
      <c r="R48" s="256"/>
      <c r="S48" s="256"/>
      <c r="T48" s="256"/>
      <c r="U48" s="256"/>
      <c r="V48" s="256"/>
      <c r="W48" s="256"/>
    </row>
    <row r="49" spans="1:23">
      <c r="A49" s="342" t="s">
        <v>221</v>
      </c>
      <c r="B49" s="276" t="s">
        <v>120</v>
      </c>
      <c r="C49" s="277" t="s">
        <v>163</v>
      </c>
      <c r="D49" s="282">
        <f t="shared" si="7"/>
        <v>-2.0258390778721395E-5</v>
      </c>
      <c r="E49" s="283">
        <f t="shared" si="7"/>
        <v>0</v>
      </c>
      <c r="F49" s="283">
        <f t="shared" si="7"/>
        <v>0</v>
      </c>
      <c r="G49" s="283">
        <f t="shared" si="7"/>
        <v>0</v>
      </c>
      <c r="H49" s="283">
        <f t="shared" si="7"/>
        <v>0</v>
      </c>
      <c r="I49" s="194"/>
      <c r="J49" s="284">
        <f>AVERAGE(D76:INDEX(D76:H76,0,MATCH(Data!$B$3,$D$7:$H$7,0)))/AVERAGE($D$91:INDEX($D$91:$H$91,0,MATCH(Data!$B$3,$D$7:$H$7,0)))</f>
        <v>-2.0258390778721395E-5</v>
      </c>
      <c r="K49" s="285">
        <f t="shared" si="8"/>
        <v>-4.3590716796985487E-6</v>
      </c>
      <c r="L49" s="504"/>
      <c r="M49" s="505"/>
      <c r="N49" s="256"/>
      <c r="O49" s="256"/>
      <c r="P49" s="256"/>
      <c r="Q49" s="256"/>
      <c r="R49" s="256"/>
      <c r="S49" s="256"/>
      <c r="T49" s="256"/>
      <c r="U49" s="256"/>
      <c r="V49" s="256"/>
      <c r="W49" s="256"/>
    </row>
    <row r="50" spans="1:23">
      <c r="A50" s="342" t="s">
        <v>222</v>
      </c>
      <c r="B50" s="276">
        <v>0</v>
      </c>
      <c r="C50" s="277" t="s">
        <v>163</v>
      </c>
      <c r="D50" s="282">
        <f t="shared" si="7"/>
        <v>0</v>
      </c>
      <c r="E50" s="283">
        <f t="shared" si="7"/>
        <v>0</v>
      </c>
      <c r="F50" s="283">
        <f t="shared" si="7"/>
        <v>0</v>
      </c>
      <c r="G50" s="283">
        <f t="shared" si="7"/>
        <v>0</v>
      </c>
      <c r="H50" s="283">
        <f t="shared" si="7"/>
        <v>0</v>
      </c>
      <c r="I50" s="194"/>
      <c r="J50" s="284">
        <f>AVERAGE(D77:INDEX(D77:H77,0,MATCH(Data!$B$3,$D$7:$H$7,0)))/AVERAGE($D$91:INDEX($D$91:$H$91,0,MATCH(Data!$B$3,$D$7:$H$7,0)))</f>
        <v>0</v>
      </c>
      <c r="K50" s="285">
        <f t="shared" si="8"/>
        <v>0</v>
      </c>
      <c r="L50" s="504"/>
      <c r="M50" s="505"/>
      <c r="N50" s="256"/>
      <c r="O50" s="256"/>
      <c r="P50" s="256"/>
      <c r="Q50" s="256"/>
      <c r="R50" s="256"/>
      <c r="S50" s="256"/>
      <c r="T50" s="256"/>
      <c r="U50" s="256"/>
      <c r="V50" s="256"/>
      <c r="W50" s="256"/>
    </row>
    <row r="51" spans="1:23">
      <c r="A51" s="342" t="s">
        <v>223</v>
      </c>
      <c r="B51" s="276">
        <v>0</v>
      </c>
      <c r="C51" s="277" t="s">
        <v>163</v>
      </c>
      <c r="D51" s="282">
        <f t="shared" si="7"/>
        <v>0</v>
      </c>
      <c r="E51" s="283">
        <f t="shared" si="7"/>
        <v>0</v>
      </c>
      <c r="F51" s="283">
        <f t="shared" si="7"/>
        <v>0</v>
      </c>
      <c r="G51" s="283">
        <f t="shared" si="7"/>
        <v>0</v>
      </c>
      <c r="H51" s="283">
        <f t="shared" si="7"/>
        <v>0</v>
      </c>
      <c r="I51" s="194"/>
      <c r="J51" s="284">
        <f>AVERAGE(D78:INDEX(D78:H78,0,MATCH(Data!$B$3,$D$7:$H$7,0)))/AVERAGE($D$91:INDEX($D$91:$H$91,0,MATCH(Data!$B$3,$D$7:$H$7,0)))</f>
        <v>0</v>
      </c>
      <c r="K51" s="285">
        <f t="shared" si="8"/>
        <v>0</v>
      </c>
      <c r="L51" s="504"/>
      <c r="M51" s="505"/>
      <c r="N51" s="256"/>
      <c r="O51" s="256"/>
      <c r="P51" s="256"/>
      <c r="Q51" s="256"/>
      <c r="R51" s="256"/>
      <c r="S51" s="256"/>
      <c r="T51" s="256"/>
      <c r="U51" s="256"/>
      <c r="V51" s="256"/>
      <c r="W51" s="256"/>
    </row>
    <row r="52" spans="1:23">
      <c r="A52" s="342" t="s">
        <v>224</v>
      </c>
      <c r="B52" s="276">
        <v>0</v>
      </c>
      <c r="C52" s="277" t="s">
        <v>163</v>
      </c>
      <c r="D52" s="282">
        <f t="shared" si="7"/>
        <v>0</v>
      </c>
      <c r="E52" s="283">
        <f t="shared" si="7"/>
        <v>0</v>
      </c>
      <c r="F52" s="283">
        <f t="shared" si="7"/>
        <v>0</v>
      </c>
      <c r="G52" s="283">
        <f t="shared" si="7"/>
        <v>0</v>
      </c>
      <c r="H52" s="283">
        <f t="shared" si="7"/>
        <v>0</v>
      </c>
      <c r="I52" s="194"/>
      <c r="J52" s="284">
        <f>AVERAGE(D79:INDEX(D79:H79,0,MATCH(Data!$B$3,$D$7:$H$7,0)))/AVERAGE($D$91:INDEX($D$91:$H$91,0,MATCH(Data!$B$3,$D$7:$H$7,0)))</f>
        <v>0</v>
      </c>
      <c r="K52" s="285">
        <f t="shared" si="8"/>
        <v>0</v>
      </c>
      <c r="L52" s="504"/>
      <c r="M52" s="505"/>
      <c r="N52" s="256"/>
      <c r="O52" s="256"/>
      <c r="P52" s="256"/>
      <c r="Q52" s="256"/>
      <c r="R52" s="256"/>
      <c r="S52" s="256"/>
      <c r="T52" s="256"/>
      <c r="U52" s="256"/>
      <c r="V52" s="256"/>
      <c r="W52" s="256"/>
    </row>
    <row r="53" spans="1:23">
      <c r="A53" s="342" t="s">
        <v>225</v>
      </c>
      <c r="B53" s="276">
        <v>0</v>
      </c>
      <c r="C53" s="277" t="s">
        <v>163</v>
      </c>
      <c r="D53" s="282">
        <f t="shared" si="7"/>
        <v>0</v>
      </c>
      <c r="E53" s="283">
        <f t="shared" si="7"/>
        <v>0</v>
      </c>
      <c r="F53" s="283">
        <f t="shared" si="7"/>
        <v>0</v>
      </c>
      <c r="G53" s="283">
        <f t="shared" si="7"/>
        <v>0</v>
      </c>
      <c r="H53" s="283">
        <f t="shared" si="7"/>
        <v>0</v>
      </c>
      <c r="I53" s="194"/>
      <c r="J53" s="284">
        <f>AVERAGE(D80:INDEX(D80:H80,0,MATCH(Data!$B$3,$D$7:$H$7,0)))/AVERAGE($D$91:INDEX($D$91:$H$91,0,MATCH(Data!$B$3,$D$7:$H$7,0)))</f>
        <v>0</v>
      </c>
      <c r="K53" s="285">
        <f t="shared" si="8"/>
        <v>0</v>
      </c>
      <c r="L53" s="504"/>
      <c r="M53" s="505"/>
      <c r="N53" s="256"/>
      <c r="O53" s="256"/>
      <c r="P53" s="256"/>
      <c r="Q53" s="256"/>
      <c r="R53" s="256"/>
      <c r="S53" s="256"/>
      <c r="T53" s="256"/>
      <c r="U53" s="256"/>
      <c r="V53" s="256"/>
      <c r="W53" s="256"/>
    </row>
    <row r="54" spans="1:23">
      <c r="A54" s="342" t="s">
        <v>226</v>
      </c>
      <c r="B54" s="276">
        <v>0</v>
      </c>
      <c r="C54" s="277" t="s">
        <v>163</v>
      </c>
      <c r="D54" s="282">
        <f t="shared" ref="D54:H55" si="9">D81/D$91</f>
        <v>0</v>
      </c>
      <c r="E54" s="283">
        <f t="shared" si="9"/>
        <v>0</v>
      </c>
      <c r="F54" s="283">
        <f t="shared" si="9"/>
        <v>0</v>
      </c>
      <c r="G54" s="283">
        <f t="shared" si="9"/>
        <v>0</v>
      </c>
      <c r="H54" s="283">
        <f t="shared" si="9"/>
        <v>0</v>
      </c>
      <c r="I54" s="194"/>
      <c r="J54" s="284">
        <f>AVERAGE(D81:INDEX(D81:H81,0,MATCH(Data!$B$3,$D$7:$H$7,0)))/AVERAGE($D$91:INDEX($D$91:$H$91,0,MATCH(Data!$B$3,$D$7:$H$7,0)))</f>
        <v>0</v>
      </c>
      <c r="K54" s="285">
        <f t="shared" si="8"/>
        <v>0</v>
      </c>
      <c r="L54" s="504"/>
      <c r="M54" s="505"/>
      <c r="N54" s="256"/>
      <c r="O54" s="256"/>
      <c r="P54" s="256"/>
      <c r="Q54" s="256"/>
      <c r="R54" s="256"/>
      <c r="S54" s="256"/>
      <c r="T54" s="256"/>
      <c r="U54" s="256"/>
      <c r="V54" s="256"/>
      <c r="W54" s="256"/>
    </row>
    <row r="55" spans="1:23">
      <c r="A55" s="342"/>
      <c r="B55" s="276" t="s">
        <v>121</v>
      </c>
      <c r="C55" s="277" t="s">
        <v>163</v>
      </c>
      <c r="D55" s="282">
        <f t="shared" si="9"/>
        <v>-6.9303972351086337E-5</v>
      </c>
      <c r="E55" s="283">
        <f t="shared" si="9"/>
        <v>0</v>
      </c>
      <c r="F55" s="283">
        <f t="shared" si="9"/>
        <v>0</v>
      </c>
      <c r="G55" s="283">
        <f t="shared" si="9"/>
        <v>0</v>
      </c>
      <c r="H55" s="283">
        <f t="shared" si="9"/>
        <v>0</v>
      </c>
      <c r="I55" s="194"/>
      <c r="J55" s="284">
        <f>AVERAGE(D82:INDEX(D82:H82,0,MATCH(Data!$B$3,$D$7:$H$7,0)))/AVERAGE($D$91:INDEX($D$91:$H$91,0,MATCH(Data!$B$3,$D$7:$H$7,0)))</f>
        <v>-6.9303972351086337E-5</v>
      </c>
      <c r="K55" s="285">
        <f t="shared" si="8"/>
        <v>-1.4912387981159218E-5</v>
      </c>
      <c r="L55" s="504"/>
      <c r="M55" s="505"/>
      <c r="N55" s="256"/>
      <c r="O55" s="256"/>
      <c r="P55" s="256"/>
      <c r="Q55" s="256"/>
      <c r="R55" s="256"/>
      <c r="S55" s="256"/>
      <c r="T55" s="256"/>
      <c r="U55" s="256"/>
      <c r="V55" s="256"/>
      <c r="W55" s="256"/>
    </row>
    <row r="56" spans="1:23">
      <c r="A56" s="342"/>
      <c r="B56" s="279" t="s">
        <v>122</v>
      </c>
      <c r="C56" s="281" t="s">
        <v>163</v>
      </c>
      <c r="D56" s="324">
        <f>SUM(D38:D55)</f>
        <v>4.7032011178982785E-2</v>
      </c>
      <c r="E56" s="324">
        <f t="shared" ref="E56:H56" si="10">SUM(E38:E55)</f>
        <v>5.5700459896702324E-2</v>
      </c>
      <c r="F56" s="324">
        <f t="shared" si="10"/>
        <v>6.1709296819794285E-2</v>
      </c>
      <c r="G56" s="324">
        <f t="shared" si="10"/>
        <v>6.3476109700230224E-2</v>
      </c>
      <c r="H56" s="324">
        <f t="shared" si="10"/>
        <v>6.3544003274388042E-2</v>
      </c>
      <c r="I56" s="287"/>
      <c r="J56" s="151">
        <f>SUM(J38:J55)</f>
        <v>4.7032011178982785E-2</v>
      </c>
      <c r="K56" s="151">
        <f>SUM(K38:K55)</f>
        <v>5.806794500484274E-2</v>
      </c>
      <c r="L56" s="514"/>
      <c r="M56" s="505"/>
      <c r="N56" s="256"/>
      <c r="O56" s="256"/>
      <c r="P56" s="256"/>
      <c r="Q56" s="256"/>
      <c r="R56" s="256"/>
      <c r="S56" s="256"/>
      <c r="T56" s="256"/>
      <c r="U56" s="256"/>
      <c r="V56" s="256"/>
      <c r="W56" s="256"/>
    </row>
    <row r="57" spans="1:23">
      <c r="A57" s="342"/>
      <c r="B57" s="276" t="s">
        <v>173</v>
      </c>
      <c r="C57" s="277" t="s">
        <v>163</v>
      </c>
      <c r="D57" s="282">
        <f>(D84+D85)/D$91</f>
        <v>5.9932568721588607E-2</v>
      </c>
      <c r="E57" s="283">
        <f t="shared" ref="E57:H57" si="11">(E84+E85)/E$91</f>
        <v>1.2927800430521906E-2</v>
      </c>
      <c r="F57" s="283">
        <f t="shared" si="11"/>
        <v>-1.9932920503311735E-3</v>
      </c>
      <c r="G57" s="283">
        <f t="shared" si="11"/>
        <v>-2.9625390705773648E-3</v>
      </c>
      <c r="H57" s="283">
        <f t="shared" si="11"/>
        <v>1.5038694153105792E-3</v>
      </c>
      <c r="I57" s="194"/>
      <c r="J57" s="284">
        <f>(AVERAGE(D84:INDEX(D84:H84,0,MATCH(Data!$B$3,$D$7:$H$7,0)))+AVERAGE(D85:INDEX(D85:H85,0,MATCH(Data!$B$3,$D$7:$H$7,0))))/AVERAGE($D$91:INDEX($D$91:$H$91,0,MATCH(Data!$B$3,$D$7:$H$7,0)))</f>
        <v>5.9932568721588607E-2</v>
      </c>
      <c r="K57" s="285">
        <f>(AVERAGE(D84:H84)+AVERAGE(D85:H85))/AVERAGE($D$91:$H$91)</f>
        <v>1.4824262206445643E-2</v>
      </c>
      <c r="L57" s="504"/>
      <c r="M57" s="505"/>
      <c r="N57" s="256"/>
      <c r="O57" s="256"/>
      <c r="P57" s="256"/>
      <c r="Q57" s="256"/>
      <c r="R57" s="256"/>
      <c r="S57" s="256"/>
      <c r="T57" s="256"/>
      <c r="U57" s="256"/>
      <c r="V57" s="256"/>
      <c r="W57" s="256"/>
    </row>
    <row r="58" spans="1:23">
      <c r="A58" s="342"/>
      <c r="B58" s="276" t="s">
        <v>174</v>
      </c>
      <c r="C58" s="277" t="s">
        <v>163</v>
      </c>
      <c r="D58" s="282">
        <f>(D86+D87)/D$91</f>
        <v>2.9490615544436214E-3</v>
      </c>
      <c r="E58" s="283">
        <f t="shared" ref="E58:H58" si="12">(E86+E87)/E$91</f>
        <v>1.4222782674620253E-3</v>
      </c>
      <c r="F58" s="283">
        <f t="shared" si="12"/>
        <v>1.3869489223944352E-3</v>
      </c>
      <c r="G58" s="283">
        <f t="shared" si="12"/>
        <v>1.0455947653480692E-3</v>
      </c>
      <c r="H58" s="283">
        <f t="shared" si="12"/>
        <v>1.2185590373377361E-3</v>
      </c>
      <c r="I58" s="194"/>
      <c r="J58" s="284">
        <f>(AVERAGE(D87:INDEX(D87:H87,0,MATCH(Data!$B$3,$D$7:$H$7,0)))+AVERAGE(D86:INDEX(D86:H86,0,MATCH(Data!$B$3,$D$7:$H$7,0))))/AVERAGE($D$91:INDEX($D$91:$H$91,0,MATCH(Data!$B$3,$D$7:$H$7,0)))</f>
        <v>2.9490615544436214E-3</v>
      </c>
      <c r="K58" s="285">
        <f>(AVERAGE(D86:H86)+AVERAGE(D87:H87))/AVERAGE($D$91:$H$91)</f>
        <v>1.6294541657339314E-3</v>
      </c>
      <c r="L58" s="504"/>
      <c r="M58" s="505"/>
      <c r="N58" s="256"/>
      <c r="O58" s="256"/>
      <c r="P58" s="256"/>
      <c r="Q58" s="256"/>
      <c r="R58" s="256"/>
      <c r="S58" s="256"/>
      <c r="T58" s="256"/>
      <c r="U58" s="256"/>
      <c r="V58" s="256"/>
      <c r="W58" s="256"/>
    </row>
    <row r="59" spans="1:23">
      <c r="A59" s="342"/>
      <c r="B59" s="279" t="s">
        <v>125</v>
      </c>
      <c r="C59" s="281" t="s">
        <v>163</v>
      </c>
      <c r="D59" s="151">
        <f>SUM(D56:D58)</f>
        <v>0.10991364145501502</v>
      </c>
      <c r="E59" s="325">
        <f t="shared" ref="E59:K59" si="13">SUM(E56:E58)</f>
        <v>7.0050538594686254E-2</v>
      </c>
      <c r="F59" s="325">
        <f t="shared" si="13"/>
        <v>6.1102953691857552E-2</v>
      </c>
      <c r="G59" s="325">
        <f t="shared" si="13"/>
        <v>6.1559165395000927E-2</v>
      </c>
      <c r="H59" s="325">
        <f t="shared" si="13"/>
        <v>6.6266431727036362E-2</v>
      </c>
      <c r="I59" s="287"/>
      <c r="J59" s="325">
        <f t="shared" si="13"/>
        <v>0.10991364145501502</v>
      </c>
      <c r="K59" s="325">
        <f t="shared" si="13"/>
        <v>7.4521661377022319E-2</v>
      </c>
      <c r="L59" s="514"/>
      <c r="M59" s="505"/>
      <c r="N59" s="256"/>
      <c r="O59" s="256"/>
      <c r="P59" s="256"/>
      <c r="Q59" s="256"/>
      <c r="R59" s="256"/>
      <c r="S59" s="256"/>
      <c r="T59" s="256"/>
      <c r="U59" s="256"/>
      <c r="V59" s="256"/>
      <c r="W59" s="256"/>
    </row>
    <row r="60" spans="1:23">
      <c r="A60" s="342"/>
      <c r="B60" s="288"/>
      <c r="C60" s="281"/>
      <c r="D60" s="289"/>
      <c r="E60" s="289"/>
      <c r="F60" s="289"/>
      <c r="G60" s="289"/>
      <c r="H60" s="289"/>
      <c r="I60" s="280"/>
      <c r="J60" s="280"/>
      <c r="K60" s="289"/>
      <c r="L60" s="505"/>
      <c r="M60" s="505"/>
      <c r="N60" s="256"/>
      <c r="O60" s="256"/>
      <c r="P60" s="256"/>
      <c r="Q60" s="256"/>
      <c r="R60" s="256"/>
      <c r="S60" s="256"/>
      <c r="T60" s="256"/>
      <c r="U60" s="256"/>
      <c r="V60" s="256"/>
      <c r="W60" s="256"/>
    </row>
    <row r="61" spans="1:23">
      <c r="A61" s="342"/>
      <c r="B61" s="288"/>
      <c r="C61" s="281"/>
      <c r="D61" s="289"/>
      <c r="E61" s="289"/>
      <c r="F61" s="289"/>
      <c r="G61" s="289"/>
      <c r="H61" s="289"/>
      <c r="I61" s="511"/>
      <c r="J61" s="511"/>
      <c r="K61" s="289"/>
      <c r="L61" s="505"/>
      <c r="M61" s="505"/>
      <c r="N61" s="256"/>
      <c r="O61" s="256"/>
      <c r="P61" s="256"/>
      <c r="Q61" s="256"/>
      <c r="R61" s="256"/>
      <c r="S61" s="256"/>
      <c r="T61" s="256"/>
      <c r="U61" s="256"/>
      <c r="V61" s="256"/>
      <c r="W61" s="256"/>
    </row>
    <row r="62" spans="1:23">
      <c r="A62" s="342"/>
      <c r="B62" s="290" t="s">
        <v>175</v>
      </c>
      <c r="C62" s="291"/>
      <c r="D62" s="292"/>
      <c r="E62" s="292"/>
      <c r="F62" s="292"/>
      <c r="G62" s="292"/>
      <c r="H62" s="292"/>
      <c r="I62" s="512"/>
      <c r="J62" s="512"/>
      <c r="K62" s="292"/>
      <c r="L62" s="513"/>
      <c r="M62" s="513"/>
      <c r="N62" s="256"/>
      <c r="O62" s="256"/>
      <c r="P62" s="256"/>
      <c r="Q62" s="256"/>
      <c r="R62" s="256"/>
      <c r="S62" s="256"/>
      <c r="T62" s="256"/>
      <c r="U62" s="256"/>
      <c r="V62" s="256"/>
      <c r="W62" s="256"/>
    </row>
    <row r="63" spans="1:23">
      <c r="A63" s="342"/>
      <c r="B63" s="293" t="s">
        <v>227</v>
      </c>
      <c r="C63" s="294"/>
      <c r="D63" s="294"/>
      <c r="E63" s="294"/>
      <c r="F63" s="294"/>
      <c r="G63" s="294"/>
      <c r="H63" s="294"/>
      <c r="I63" s="510"/>
      <c r="J63" s="510"/>
      <c r="K63" s="294"/>
      <c r="L63" s="510"/>
      <c r="M63" s="510"/>
      <c r="N63" s="256"/>
      <c r="O63" s="256"/>
      <c r="P63" s="256"/>
      <c r="Q63" s="256"/>
      <c r="R63" s="256"/>
      <c r="S63" s="256"/>
      <c r="T63" s="256"/>
      <c r="U63" s="256"/>
      <c r="V63" s="256"/>
      <c r="W63" s="256"/>
    </row>
    <row r="64" spans="1:23">
      <c r="A64" s="342"/>
      <c r="B64" s="265"/>
      <c r="C64" s="256"/>
      <c r="D64" s="256"/>
      <c r="E64" s="256"/>
      <c r="F64" s="256"/>
      <c r="G64" s="256"/>
      <c r="H64" s="256"/>
      <c r="I64" s="505"/>
      <c r="J64" s="505"/>
      <c r="K64" s="256"/>
      <c r="L64" s="505"/>
      <c r="M64" s="505"/>
      <c r="N64" s="256"/>
      <c r="O64" s="256"/>
      <c r="P64" s="256"/>
      <c r="Q64" s="256"/>
      <c r="R64" s="256"/>
      <c r="S64" s="256"/>
      <c r="T64" s="256"/>
      <c r="U64" s="256"/>
      <c r="V64" s="256"/>
      <c r="W64" s="256"/>
    </row>
    <row r="65" spans="1:23">
      <c r="B65" s="295" t="s">
        <v>177</v>
      </c>
      <c r="C65" s="104" t="s">
        <v>228</v>
      </c>
      <c r="D65" s="326">
        <v>180.86894965441502</v>
      </c>
      <c r="E65" s="326">
        <v>196.73439933883657</v>
      </c>
      <c r="F65" s="326">
        <v>201.75889996977776</v>
      </c>
      <c r="G65" s="326">
        <v>209.49149975310758</v>
      </c>
      <c r="H65" s="326">
        <v>216.85743629630269</v>
      </c>
      <c r="I65" s="265"/>
      <c r="J65" s="326">
        <v>180.86894965441502</v>
      </c>
      <c r="K65" s="326">
        <v>1005.7111850124395</v>
      </c>
      <c r="L65" s="508"/>
      <c r="M65" s="507"/>
      <c r="N65" s="256"/>
      <c r="O65" s="256"/>
      <c r="P65" s="256"/>
      <c r="Q65" s="256"/>
      <c r="R65" s="256"/>
      <c r="S65" s="256"/>
      <c r="T65" s="256"/>
      <c r="U65" s="256"/>
      <c r="V65" s="256"/>
      <c r="W65" s="256"/>
    </row>
    <row r="66" spans="1:23">
      <c r="B66" s="295" t="s">
        <v>108</v>
      </c>
      <c r="C66" s="104" t="s">
        <v>228</v>
      </c>
      <c r="D66" s="326">
        <v>11.402938819963634</v>
      </c>
      <c r="E66" s="326">
        <v>15.934606706253097</v>
      </c>
      <c r="F66" s="326">
        <v>20.529786033692304</v>
      </c>
      <c r="G66" s="326">
        <v>27.977372772335677</v>
      </c>
      <c r="H66" s="326">
        <v>28.677447925868563</v>
      </c>
      <c r="I66" s="265"/>
      <c r="J66" s="326">
        <v>11.402938819963634</v>
      </c>
      <c r="K66" s="326">
        <v>104.52215225811327</v>
      </c>
      <c r="L66" s="508"/>
      <c r="M66" s="507"/>
      <c r="N66" s="256"/>
      <c r="O66" s="256"/>
      <c r="P66" s="256"/>
      <c r="Q66" s="256"/>
      <c r="R66" s="256"/>
      <c r="S66" s="256"/>
      <c r="T66" s="256"/>
      <c r="U66" s="256"/>
      <c r="V66" s="256"/>
      <c r="W66" s="256"/>
    </row>
    <row r="67" spans="1:23">
      <c r="A67" s="314" t="s">
        <v>212</v>
      </c>
      <c r="B67" s="295" t="s">
        <v>109</v>
      </c>
      <c r="C67" s="104" t="s">
        <v>228</v>
      </c>
      <c r="D67" s="326">
        <v>4.5999999999999996</v>
      </c>
      <c r="E67" s="326">
        <v>0</v>
      </c>
      <c r="F67" s="326">
        <v>0</v>
      </c>
      <c r="G67" s="326">
        <v>0</v>
      </c>
      <c r="H67" s="326">
        <v>0</v>
      </c>
      <c r="I67" s="265"/>
      <c r="J67" s="326">
        <v>4.5999999999999996</v>
      </c>
      <c r="K67" s="326">
        <v>4.5999999999999996</v>
      </c>
      <c r="L67" s="508"/>
      <c r="M67" s="507"/>
      <c r="N67" s="256"/>
      <c r="O67" s="256"/>
      <c r="P67" s="256"/>
      <c r="Q67" s="256"/>
      <c r="R67" s="256"/>
      <c r="S67" s="256"/>
      <c r="T67" s="256"/>
      <c r="U67" s="256"/>
      <c r="V67" s="256"/>
      <c r="W67" s="256"/>
    </row>
    <row r="68" spans="1:23">
      <c r="A68" s="343" t="s">
        <v>213</v>
      </c>
      <c r="B68" s="295" t="s">
        <v>110</v>
      </c>
      <c r="C68" s="298" t="s">
        <v>228</v>
      </c>
      <c r="D68" s="326">
        <v>2.2870225999999994</v>
      </c>
      <c r="E68" s="326">
        <v>2.4000000000000004</v>
      </c>
      <c r="F68" s="326">
        <v>2.5</v>
      </c>
      <c r="G68" s="326">
        <v>2.6000000000000005</v>
      </c>
      <c r="H68" s="326">
        <v>2.7</v>
      </c>
      <c r="I68" s="327"/>
      <c r="J68" s="326">
        <v>2.2870225999999994</v>
      </c>
      <c r="K68" s="326">
        <v>12.487022600000001</v>
      </c>
      <c r="L68" s="508"/>
      <c r="M68" s="507"/>
      <c r="N68" s="256"/>
      <c r="O68" s="256"/>
      <c r="P68" s="256"/>
      <c r="Q68" s="256"/>
      <c r="R68" s="256"/>
      <c r="S68" s="256"/>
      <c r="T68" s="256"/>
      <c r="U68" s="256"/>
      <c r="V68" s="256"/>
      <c r="W68" s="256"/>
    </row>
    <row r="69" spans="1:23">
      <c r="A69" s="343" t="s">
        <v>214</v>
      </c>
      <c r="B69" s="295" t="s">
        <v>111</v>
      </c>
      <c r="C69" s="298" t="s">
        <v>228</v>
      </c>
      <c r="D69" s="326">
        <v>-7.5950591103211007E-2</v>
      </c>
      <c r="E69" s="326">
        <v>0.5</v>
      </c>
      <c r="F69" s="326">
        <v>0.60000000000000009</v>
      </c>
      <c r="G69" s="326">
        <v>0.70000000000000007</v>
      </c>
      <c r="H69" s="326">
        <v>0.79999999999999993</v>
      </c>
      <c r="I69" s="327"/>
      <c r="J69" s="326">
        <v>-7.5950591103211007E-2</v>
      </c>
      <c r="K69" s="326">
        <v>2.5240494088967891</v>
      </c>
      <c r="L69" s="508"/>
      <c r="M69" s="507"/>
      <c r="N69" s="256"/>
      <c r="O69" s="256"/>
      <c r="P69" s="256"/>
      <c r="Q69" s="256"/>
      <c r="R69" s="256"/>
      <c r="S69" s="256"/>
      <c r="T69" s="256"/>
      <c r="U69" s="256"/>
      <c r="V69" s="256"/>
      <c r="W69" s="256"/>
    </row>
    <row r="70" spans="1:23">
      <c r="A70" s="343" t="s">
        <v>215</v>
      </c>
      <c r="B70" s="295" t="s">
        <v>112</v>
      </c>
      <c r="C70" s="298" t="s">
        <v>228</v>
      </c>
      <c r="D70" s="326">
        <v>-6.749628220968483</v>
      </c>
      <c r="E70" s="326">
        <v>0</v>
      </c>
      <c r="F70" s="326">
        <v>0</v>
      </c>
      <c r="G70" s="326">
        <v>0</v>
      </c>
      <c r="H70" s="326">
        <v>0</v>
      </c>
      <c r="I70" s="327"/>
      <c r="J70" s="326">
        <v>-6.749628220968483</v>
      </c>
      <c r="K70" s="326">
        <v>-6.749628220968483</v>
      </c>
      <c r="L70" s="508"/>
      <c r="M70" s="507"/>
      <c r="N70" s="256"/>
      <c r="O70" s="256"/>
      <c r="P70" s="256"/>
      <c r="Q70" s="256"/>
      <c r="R70" s="256"/>
      <c r="S70" s="256"/>
      <c r="T70" s="256"/>
      <c r="U70" s="256"/>
      <c r="V70" s="256"/>
      <c r="W70" s="256"/>
    </row>
    <row r="71" spans="1:23">
      <c r="A71" s="343" t="s">
        <v>216</v>
      </c>
      <c r="B71" s="295" t="s">
        <v>113</v>
      </c>
      <c r="C71" s="298" t="s">
        <v>228</v>
      </c>
      <c r="D71" s="326">
        <v>0</v>
      </c>
      <c r="E71" s="326">
        <v>0</v>
      </c>
      <c r="F71" s="326">
        <v>0</v>
      </c>
      <c r="G71" s="326">
        <v>0</v>
      </c>
      <c r="H71" s="326">
        <v>0</v>
      </c>
      <c r="I71" s="327"/>
      <c r="J71" s="326">
        <v>0</v>
      </c>
      <c r="K71" s="326">
        <v>0</v>
      </c>
      <c r="L71" s="508"/>
      <c r="M71" s="507"/>
      <c r="N71" s="256"/>
      <c r="O71" s="256"/>
      <c r="P71" s="256"/>
      <c r="Q71" s="256"/>
      <c r="R71" s="256"/>
      <c r="S71" s="256"/>
      <c r="T71" s="256"/>
      <c r="U71" s="256"/>
      <c r="V71" s="256"/>
      <c r="W71" s="256"/>
    </row>
    <row r="72" spans="1:23">
      <c r="A72" s="343" t="s">
        <v>217</v>
      </c>
      <c r="B72" s="295" t="s">
        <v>114</v>
      </c>
      <c r="C72" s="298" t="s">
        <v>228</v>
      </c>
      <c r="D72" s="326">
        <v>0</v>
      </c>
      <c r="E72" s="326">
        <v>0</v>
      </c>
      <c r="F72" s="326">
        <v>0</v>
      </c>
      <c r="G72" s="326">
        <v>0</v>
      </c>
      <c r="H72" s="326">
        <v>0</v>
      </c>
      <c r="I72" s="327"/>
      <c r="J72" s="326">
        <v>0</v>
      </c>
      <c r="K72" s="326">
        <v>0</v>
      </c>
      <c r="L72" s="508"/>
      <c r="M72" s="507"/>
      <c r="N72" s="256"/>
      <c r="O72" s="256"/>
      <c r="P72" s="256"/>
      <c r="Q72" s="256"/>
      <c r="R72" s="256"/>
      <c r="S72" s="256"/>
      <c r="T72" s="256"/>
      <c r="U72" s="256"/>
      <c r="V72" s="256"/>
      <c r="W72" s="256"/>
    </row>
    <row r="73" spans="1:23">
      <c r="A73" s="314" t="s">
        <v>218</v>
      </c>
      <c r="B73" s="295" t="s">
        <v>115</v>
      </c>
      <c r="C73" s="104" t="s">
        <v>228</v>
      </c>
      <c r="D73" s="326">
        <v>5.9660000000000002</v>
      </c>
      <c r="E73" s="326">
        <v>1.7100000000000002</v>
      </c>
      <c r="F73" s="326">
        <v>1.7100000000000002</v>
      </c>
      <c r="G73" s="326">
        <v>1.7100000000000002</v>
      </c>
      <c r="H73" s="326">
        <v>1.7100000000000002</v>
      </c>
      <c r="I73" s="327"/>
      <c r="J73" s="326">
        <v>5.9660000000000002</v>
      </c>
      <c r="K73" s="326">
        <v>12.806000000000001</v>
      </c>
      <c r="L73" s="508"/>
      <c r="M73" s="507"/>
      <c r="N73" s="256"/>
      <c r="O73" s="256"/>
      <c r="P73" s="256"/>
      <c r="Q73" s="256"/>
      <c r="R73" s="256"/>
      <c r="S73" s="256"/>
      <c r="T73" s="256"/>
      <c r="U73" s="256"/>
      <c r="V73" s="256"/>
      <c r="W73" s="256"/>
    </row>
    <row r="74" spans="1:23">
      <c r="A74" s="314" t="s">
        <v>219</v>
      </c>
      <c r="B74" s="295" t="s">
        <v>118</v>
      </c>
      <c r="C74" s="104" t="s">
        <v>228</v>
      </c>
      <c r="D74" s="326">
        <v>-1.3865911021295828E-2</v>
      </c>
      <c r="E74" s="326">
        <v>-0.18864104593696024</v>
      </c>
      <c r="F74" s="326">
        <v>-0.18864104593696024</v>
      </c>
      <c r="G74" s="326">
        <v>-0.18864104593696024</v>
      </c>
      <c r="H74" s="326">
        <v>-0.18864104593696024</v>
      </c>
      <c r="I74" s="265"/>
      <c r="J74" s="326">
        <v>-1.3865911021295828E-2</v>
      </c>
      <c r="K74" s="326">
        <v>-0.76843009476913682</v>
      </c>
      <c r="L74" s="508"/>
      <c r="M74" s="507"/>
      <c r="N74" s="256"/>
      <c r="O74" s="256"/>
      <c r="P74" s="256"/>
      <c r="Q74" s="256"/>
      <c r="R74" s="256"/>
      <c r="S74" s="256"/>
      <c r="T74" s="256"/>
      <c r="U74" s="256"/>
      <c r="V74" s="256"/>
      <c r="W74" s="256"/>
    </row>
    <row r="75" spans="1:23">
      <c r="A75" s="314" t="s">
        <v>220</v>
      </c>
      <c r="B75" s="295" t="s">
        <v>119</v>
      </c>
      <c r="C75" s="104" t="s">
        <v>228</v>
      </c>
      <c r="D75" s="326">
        <v>-0.17477513491566443</v>
      </c>
      <c r="E75" s="326">
        <v>0</v>
      </c>
      <c r="F75" s="326">
        <v>0</v>
      </c>
      <c r="G75" s="326">
        <v>0</v>
      </c>
      <c r="H75" s="326">
        <v>0</v>
      </c>
      <c r="I75" s="265"/>
      <c r="J75" s="326">
        <v>-0.17477513491566443</v>
      </c>
      <c r="K75" s="326">
        <v>-0.17477513491566443</v>
      </c>
      <c r="L75" s="508"/>
      <c r="M75" s="507"/>
      <c r="N75" s="256"/>
      <c r="O75" s="256"/>
      <c r="P75" s="256"/>
      <c r="Q75" s="256"/>
      <c r="R75" s="256"/>
      <c r="S75" s="256"/>
      <c r="T75" s="256"/>
      <c r="U75" s="256"/>
      <c r="V75" s="256"/>
      <c r="W75" s="256"/>
    </row>
    <row r="76" spans="1:23">
      <c r="A76" s="314" t="s">
        <v>221</v>
      </c>
      <c r="B76" s="295" t="s">
        <v>120</v>
      </c>
      <c r="C76" s="104" t="s">
        <v>228</v>
      </c>
      <c r="D76" s="326">
        <v>-8.5171260176977071E-2</v>
      </c>
      <c r="E76" s="326">
        <v>0</v>
      </c>
      <c r="F76" s="326">
        <v>0</v>
      </c>
      <c r="G76" s="326">
        <v>0</v>
      </c>
      <c r="H76" s="326">
        <v>0</v>
      </c>
      <c r="I76" s="265"/>
      <c r="J76" s="326">
        <v>-8.5171260176977071E-2</v>
      </c>
      <c r="K76" s="326">
        <v>-8.5171260176977071E-2</v>
      </c>
      <c r="L76" s="508"/>
      <c r="M76" s="507"/>
      <c r="N76" s="256"/>
      <c r="O76" s="256"/>
      <c r="P76" s="256"/>
      <c r="Q76" s="256"/>
      <c r="R76" s="256"/>
      <c r="S76" s="256"/>
      <c r="T76" s="256"/>
      <c r="U76" s="256"/>
      <c r="V76" s="256"/>
      <c r="W76" s="256"/>
    </row>
    <row r="77" spans="1:23">
      <c r="A77" s="314" t="s">
        <v>222</v>
      </c>
      <c r="B77" s="295"/>
      <c r="C77" s="104" t="s">
        <v>228</v>
      </c>
      <c r="D77" s="326">
        <v>0</v>
      </c>
      <c r="E77" s="326">
        <v>0</v>
      </c>
      <c r="F77" s="326">
        <v>0</v>
      </c>
      <c r="G77" s="326">
        <v>0</v>
      </c>
      <c r="H77" s="326">
        <v>0</v>
      </c>
      <c r="I77" s="265"/>
      <c r="J77" s="326">
        <v>0</v>
      </c>
      <c r="K77" s="326">
        <v>0</v>
      </c>
      <c r="L77" s="508"/>
      <c r="M77" s="507"/>
      <c r="N77" s="256"/>
      <c r="O77" s="256"/>
      <c r="P77" s="256"/>
      <c r="Q77" s="256"/>
      <c r="R77" s="256"/>
      <c r="S77" s="256"/>
      <c r="T77" s="256"/>
      <c r="U77" s="256"/>
      <c r="V77" s="256"/>
      <c r="W77" s="256"/>
    </row>
    <row r="78" spans="1:23">
      <c r="A78" s="314" t="s">
        <v>223</v>
      </c>
      <c r="B78" s="295"/>
      <c r="C78" s="104" t="s">
        <v>228</v>
      </c>
      <c r="D78" s="326">
        <v>0</v>
      </c>
      <c r="E78" s="326">
        <v>0</v>
      </c>
      <c r="F78" s="326">
        <v>0</v>
      </c>
      <c r="G78" s="326">
        <v>0</v>
      </c>
      <c r="H78" s="326">
        <v>0</v>
      </c>
      <c r="I78" s="265"/>
      <c r="J78" s="326">
        <v>0</v>
      </c>
      <c r="K78" s="326">
        <v>0</v>
      </c>
      <c r="L78" s="508"/>
      <c r="M78" s="507"/>
      <c r="N78" s="256"/>
      <c r="O78" s="256"/>
      <c r="P78" s="256"/>
      <c r="Q78" s="256"/>
      <c r="R78" s="256"/>
      <c r="S78" s="256"/>
      <c r="T78" s="256"/>
      <c r="U78" s="256"/>
      <c r="V78" s="256"/>
      <c r="W78" s="256"/>
    </row>
    <row r="79" spans="1:23">
      <c r="A79" s="314" t="s">
        <v>224</v>
      </c>
      <c r="B79" s="295"/>
      <c r="C79" s="104" t="s">
        <v>228</v>
      </c>
      <c r="D79" s="326">
        <v>0</v>
      </c>
      <c r="E79" s="326">
        <v>0</v>
      </c>
      <c r="F79" s="326">
        <v>0</v>
      </c>
      <c r="G79" s="326">
        <v>0</v>
      </c>
      <c r="H79" s="326">
        <v>0</v>
      </c>
      <c r="I79" s="265"/>
      <c r="J79" s="326">
        <v>0</v>
      </c>
      <c r="K79" s="326">
        <v>0</v>
      </c>
      <c r="L79" s="508"/>
      <c r="M79" s="507"/>
      <c r="N79" s="256"/>
      <c r="O79" s="256"/>
      <c r="P79" s="256"/>
      <c r="Q79" s="256"/>
      <c r="R79" s="256"/>
      <c r="S79" s="256"/>
      <c r="T79" s="256"/>
      <c r="U79" s="256"/>
      <c r="V79" s="256"/>
      <c r="W79" s="256"/>
    </row>
    <row r="80" spans="1:23">
      <c r="A80" s="314" t="s">
        <v>225</v>
      </c>
      <c r="B80" s="295"/>
      <c r="C80" s="104" t="s">
        <v>228</v>
      </c>
      <c r="D80" s="326">
        <v>0</v>
      </c>
      <c r="E80" s="326">
        <v>0</v>
      </c>
      <c r="F80" s="326">
        <v>0</v>
      </c>
      <c r="G80" s="326">
        <v>0</v>
      </c>
      <c r="H80" s="326">
        <v>0</v>
      </c>
      <c r="I80" s="265"/>
      <c r="J80" s="326">
        <v>0</v>
      </c>
      <c r="K80" s="326">
        <v>0</v>
      </c>
      <c r="L80" s="508"/>
      <c r="M80" s="507"/>
      <c r="N80" s="256"/>
      <c r="O80" s="256"/>
      <c r="P80" s="256"/>
      <c r="Q80" s="256"/>
      <c r="R80" s="256"/>
      <c r="S80" s="256"/>
      <c r="T80" s="256"/>
      <c r="U80" s="256"/>
      <c r="V80" s="256"/>
      <c r="W80" s="256"/>
    </row>
    <row r="81" spans="1:23">
      <c r="A81" s="314" t="s">
        <v>226</v>
      </c>
      <c r="B81" s="295"/>
      <c r="C81" s="104" t="s">
        <v>228</v>
      </c>
      <c r="D81" s="326">
        <v>0</v>
      </c>
      <c r="E81" s="326">
        <v>0</v>
      </c>
      <c r="F81" s="326">
        <v>0</v>
      </c>
      <c r="G81" s="326">
        <v>0</v>
      </c>
      <c r="H81" s="326">
        <v>0</v>
      </c>
      <c r="I81" s="265"/>
      <c r="J81" s="326">
        <v>0</v>
      </c>
      <c r="K81" s="326">
        <v>0</v>
      </c>
      <c r="L81" s="508"/>
      <c r="M81" s="507"/>
      <c r="N81" s="256"/>
      <c r="O81" s="256"/>
      <c r="P81" s="256"/>
      <c r="Q81" s="256"/>
      <c r="R81" s="256"/>
      <c r="S81" s="256"/>
      <c r="T81" s="256"/>
      <c r="U81" s="256"/>
      <c r="V81" s="256"/>
      <c r="W81" s="256"/>
    </row>
    <row r="82" spans="1:23">
      <c r="B82" s="295" t="s">
        <v>121</v>
      </c>
      <c r="C82" s="104" t="s">
        <v>228</v>
      </c>
      <c r="D82" s="326">
        <v>-0.29137095462747054</v>
      </c>
      <c r="E82" s="326">
        <v>0</v>
      </c>
      <c r="F82" s="326">
        <v>0</v>
      </c>
      <c r="G82" s="326">
        <v>0</v>
      </c>
      <c r="H82" s="326">
        <v>0</v>
      </c>
      <c r="I82" s="265"/>
      <c r="J82" s="326">
        <v>-0.29137095462747054</v>
      </c>
      <c r="K82" s="326">
        <v>-0.29137095462747054</v>
      </c>
      <c r="L82" s="508"/>
      <c r="M82" s="507"/>
      <c r="N82" s="256"/>
      <c r="O82" s="256"/>
      <c r="P82" s="256"/>
      <c r="Q82" s="256"/>
      <c r="R82" s="256"/>
      <c r="S82" s="256"/>
      <c r="T82" s="256"/>
      <c r="U82" s="256"/>
      <c r="V82" s="256"/>
      <c r="W82" s="256"/>
    </row>
    <row r="83" spans="1:23">
      <c r="A83" s="344"/>
      <c r="B83" s="300" t="s">
        <v>122</v>
      </c>
      <c r="C83" s="104" t="s">
        <v>228</v>
      </c>
      <c r="D83" s="328">
        <v>197.73414900156553</v>
      </c>
      <c r="E83" s="328">
        <v>217.09036499915271</v>
      </c>
      <c r="F83" s="328">
        <v>226.9100449575331</v>
      </c>
      <c r="G83" s="328">
        <v>242.29023147950625</v>
      </c>
      <c r="H83" s="328">
        <v>250.55624317623432</v>
      </c>
      <c r="I83" s="329"/>
      <c r="J83" s="328">
        <v>197.73414900156553</v>
      </c>
      <c r="K83" s="328">
        <v>1134.5810336139918</v>
      </c>
      <c r="L83" s="509"/>
      <c r="M83" s="507"/>
      <c r="N83" s="256"/>
      <c r="O83" s="256"/>
      <c r="P83" s="256"/>
      <c r="Q83" s="256"/>
      <c r="R83" s="256"/>
      <c r="S83" s="256"/>
      <c r="T83" s="256"/>
      <c r="U83" s="256"/>
      <c r="V83" s="256"/>
      <c r="W83" s="256"/>
    </row>
    <row r="84" spans="1:23">
      <c r="B84" s="295" t="s">
        <v>123</v>
      </c>
      <c r="C84" s="104" t="s">
        <v>228</v>
      </c>
      <c r="D84" s="326">
        <v>266.59026516810462</v>
      </c>
      <c r="E84" s="326">
        <v>41.006432683806132</v>
      </c>
      <c r="F84" s="326">
        <v>-8.0121738645676697</v>
      </c>
      <c r="G84" s="326">
        <v>-12.415965107105645</v>
      </c>
      <c r="H84" s="326">
        <v>4.7748357215690111</v>
      </c>
      <c r="I84" s="265"/>
      <c r="J84" s="326">
        <v>266.59026516810462</v>
      </c>
      <c r="K84" s="326">
        <v>291.94339460180652</v>
      </c>
      <c r="L84" s="508"/>
      <c r="M84" s="507"/>
      <c r="N84" s="256"/>
      <c r="O84" s="256"/>
      <c r="P84" s="256"/>
      <c r="Q84" s="256"/>
      <c r="R84" s="256"/>
      <c r="S84" s="256"/>
      <c r="T84" s="256"/>
      <c r="U84" s="256"/>
      <c r="V84" s="256"/>
      <c r="W84" s="256"/>
    </row>
    <row r="85" spans="1:23">
      <c r="B85" s="295" t="s">
        <v>179</v>
      </c>
      <c r="C85" s="104" t="s">
        <v>228</v>
      </c>
      <c r="D85" s="326">
        <v>-14.618997587336153</v>
      </c>
      <c r="E85" s="326">
        <v>9.3791641192170196</v>
      </c>
      <c r="F85" s="326">
        <v>0.68267876312522646</v>
      </c>
      <c r="G85" s="326">
        <v>1.1078638298361649</v>
      </c>
      <c r="H85" s="326">
        <v>1.1549743550921927</v>
      </c>
      <c r="I85" s="265"/>
      <c r="J85" s="326">
        <v>-14.618997587336153</v>
      </c>
      <c r="K85" s="326">
        <v>-2.2943165200655495</v>
      </c>
      <c r="L85" s="508"/>
      <c r="M85" s="507"/>
      <c r="N85" s="256"/>
      <c r="O85" s="256"/>
      <c r="P85" s="256"/>
      <c r="Q85" s="256"/>
      <c r="R85" s="256"/>
      <c r="S85" s="256"/>
      <c r="T85" s="256"/>
      <c r="U85" s="256"/>
      <c r="V85" s="256"/>
      <c r="W85" s="256"/>
    </row>
    <row r="86" spans="1:23">
      <c r="B86" s="295" t="s">
        <v>124</v>
      </c>
      <c r="C86" s="104" t="s">
        <v>228</v>
      </c>
      <c r="D86" s="326">
        <v>8.7438311061772112</v>
      </c>
      <c r="E86" s="326">
        <v>7.8880649773856764</v>
      </c>
      <c r="F86" s="326">
        <v>5.2705923694233743</v>
      </c>
      <c r="G86" s="326">
        <v>4.2680328159408383</v>
      </c>
      <c r="H86" s="326">
        <v>5.0935647953534131</v>
      </c>
      <c r="I86" s="265"/>
      <c r="J86" s="326">
        <v>8.7438311061772112</v>
      </c>
      <c r="K86" s="326">
        <v>31.264086064280516</v>
      </c>
      <c r="L86" s="508"/>
      <c r="M86" s="507"/>
      <c r="N86" s="256"/>
      <c r="O86" s="256"/>
      <c r="P86" s="256"/>
      <c r="Q86" s="256"/>
      <c r="R86" s="256"/>
      <c r="S86" s="256"/>
      <c r="T86" s="256"/>
      <c r="U86" s="256"/>
      <c r="V86" s="256"/>
      <c r="W86" s="256"/>
    </row>
    <row r="87" spans="1:23">
      <c r="B87" s="295" t="s">
        <v>180</v>
      </c>
      <c r="C87" s="104" t="s">
        <v>228</v>
      </c>
      <c r="D87" s="326">
        <v>3.6547493968340454</v>
      </c>
      <c r="E87" s="326">
        <v>-2.3447910298042576</v>
      </c>
      <c r="F87" s="326">
        <v>-0.170669690781311</v>
      </c>
      <c r="G87" s="326">
        <v>-0.2769659574590424</v>
      </c>
      <c r="H87" s="326">
        <v>-0.28874358877304962</v>
      </c>
      <c r="I87" s="265"/>
      <c r="J87" s="326">
        <v>3.6547493968340454</v>
      </c>
      <c r="K87" s="326">
        <v>0.57357913001638483</v>
      </c>
      <c r="L87" s="508"/>
      <c r="M87" s="507"/>
      <c r="N87" s="256"/>
      <c r="O87" s="256"/>
      <c r="P87" s="256"/>
      <c r="Q87" s="256"/>
      <c r="R87" s="256"/>
      <c r="S87" s="256"/>
      <c r="T87" s="256"/>
      <c r="U87" s="256"/>
      <c r="V87" s="256"/>
      <c r="W87" s="256"/>
    </row>
    <row r="88" spans="1:23">
      <c r="A88" s="344"/>
      <c r="B88" s="300" t="s">
        <v>125</v>
      </c>
      <c r="C88" s="104" t="s">
        <v>228</v>
      </c>
      <c r="D88" s="328">
        <v>462.10399708534533</v>
      </c>
      <c r="E88" s="328">
        <v>273.01923574975729</v>
      </c>
      <c r="F88" s="328">
        <v>224.68047253473273</v>
      </c>
      <c r="G88" s="328">
        <v>234.97319706071858</v>
      </c>
      <c r="H88" s="328">
        <v>261.29087445947584</v>
      </c>
      <c r="I88" s="329"/>
      <c r="J88" s="328">
        <v>462.10399708534533</v>
      </c>
      <c r="K88" s="328">
        <v>1456.0677768900296</v>
      </c>
      <c r="L88" s="509"/>
      <c r="M88" s="507"/>
      <c r="N88" s="256"/>
      <c r="O88" s="256"/>
      <c r="P88" s="256"/>
      <c r="Q88" s="256"/>
      <c r="R88" s="256"/>
      <c r="S88" s="256"/>
      <c r="T88" s="256"/>
      <c r="U88" s="256"/>
      <c r="V88" s="256"/>
      <c r="W88" s="256"/>
    </row>
    <row r="89" spans="1:23">
      <c r="B89" s="295"/>
      <c r="D89" s="305"/>
      <c r="E89" s="256"/>
      <c r="F89" s="256"/>
      <c r="G89" s="256"/>
      <c r="H89" s="256"/>
      <c r="I89" s="265"/>
      <c r="J89" s="265"/>
      <c r="K89" s="256"/>
      <c r="L89" s="507"/>
      <c r="M89" s="507"/>
      <c r="N89" s="256"/>
      <c r="O89" s="256"/>
      <c r="P89" s="256"/>
      <c r="Q89" s="256"/>
      <c r="R89" s="256"/>
      <c r="S89" s="256"/>
      <c r="T89" s="256"/>
      <c r="U89" s="256"/>
      <c r="V89" s="256"/>
      <c r="W89" s="256"/>
    </row>
    <row r="90" spans="1:23">
      <c r="B90" s="295" t="s">
        <v>181</v>
      </c>
      <c r="C90" s="104" t="s">
        <v>228</v>
      </c>
      <c r="D90" s="326">
        <v>3423.3474914236012</v>
      </c>
      <c r="E90" s="326">
        <v>3520.9447292375939</v>
      </c>
      <c r="F90" s="326">
        <v>3656.6803546400779</v>
      </c>
      <c r="G90" s="326">
        <v>3786.8855997101596</v>
      </c>
      <c r="H90" s="326">
        <v>3908.0992953750747</v>
      </c>
      <c r="I90" s="508"/>
      <c r="J90" s="507"/>
      <c r="K90" s="256"/>
      <c r="L90" s="507"/>
      <c r="M90" s="507"/>
      <c r="N90" s="256"/>
      <c r="O90" s="256"/>
      <c r="P90" s="256"/>
      <c r="Q90" s="256"/>
      <c r="R90" s="256"/>
      <c r="S90" s="256"/>
      <c r="T90" s="256"/>
      <c r="U90" s="256"/>
      <c r="V90" s="256"/>
      <c r="W90" s="256"/>
    </row>
    <row r="91" spans="1:23">
      <c r="B91" s="295" t="s">
        <v>182</v>
      </c>
      <c r="C91" s="104" t="s">
        <v>228</v>
      </c>
      <c r="D91" s="326">
        <v>4204.2460878204383</v>
      </c>
      <c r="E91" s="326">
        <v>3897.4609078946805</v>
      </c>
      <c r="F91" s="326">
        <v>3677.0803857993069</v>
      </c>
      <c r="G91" s="326">
        <v>3817.0302594745735</v>
      </c>
      <c r="H91" s="326">
        <v>3943.0352238638875</v>
      </c>
      <c r="I91" s="508"/>
      <c r="J91" s="507"/>
      <c r="K91" s="256"/>
      <c r="L91" s="507"/>
      <c r="M91" s="507"/>
      <c r="N91" s="256"/>
      <c r="O91" s="256"/>
      <c r="P91" s="256"/>
      <c r="Q91" s="256"/>
      <c r="R91" s="256"/>
      <c r="S91" s="256"/>
      <c r="T91" s="256"/>
      <c r="U91" s="256"/>
      <c r="V91" s="256"/>
      <c r="W91" s="256"/>
    </row>
    <row r="92" spans="1:23">
      <c r="A92" s="342"/>
      <c r="B92" s="265"/>
      <c r="C92" s="256"/>
      <c r="D92" s="256"/>
      <c r="E92" s="256"/>
      <c r="F92" s="256"/>
      <c r="G92" s="256"/>
      <c r="H92" s="256"/>
      <c r="I92" s="505"/>
      <c r="J92" s="505"/>
      <c r="K92" s="256"/>
      <c r="L92" s="507"/>
      <c r="M92" s="507"/>
      <c r="N92" s="256"/>
      <c r="O92" s="256"/>
      <c r="P92" s="256"/>
      <c r="Q92" s="256"/>
      <c r="R92" s="256"/>
      <c r="S92" s="256"/>
      <c r="T92" s="256"/>
      <c r="U92" s="256"/>
      <c r="V92" s="256"/>
      <c r="W92" s="256"/>
    </row>
    <row r="93" spans="1:23">
      <c r="A93" s="342"/>
      <c r="B93" s="265"/>
      <c r="C93" s="256"/>
      <c r="D93" s="256"/>
      <c r="E93" s="256"/>
      <c r="F93" s="256"/>
      <c r="G93" s="256"/>
      <c r="H93" s="256"/>
      <c r="I93" s="505"/>
      <c r="J93" s="505"/>
      <c r="K93" s="256"/>
      <c r="L93" s="507"/>
      <c r="M93" s="507"/>
      <c r="N93" s="256"/>
      <c r="O93" s="256"/>
      <c r="P93" s="256"/>
      <c r="Q93" s="256"/>
      <c r="R93" s="256"/>
      <c r="S93" s="256"/>
      <c r="T93" s="256"/>
      <c r="U93" s="256"/>
      <c r="V93" s="256"/>
      <c r="W93" s="256"/>
    </row>
    <row r="94" spans="1:23">
      <c r="A94" s="342"/>
      <c r="B94" s="306" t="s">
        <v>232</v>
      </c>
      <c r="D94" s="307" t="str">
        <f>ED!D100</f>
        <v>Actuals</v>
      </c>
      <c r="E94" s="307" t="str">
        <f>ED!E100</f>
        <v>Forecast</v>
      </c>
      <c r="F94" s="307" t="str">
        <f>ED!F100</f>
        <v>Forecast</v>
      </c>
      <c r="G94" s="307" t="str">
        <f>ED!G100</f>
        <v>Forecast</v>
      </c>
      <c r="H94" s="307" t="str">
        <f>ED!H100</f>
        <v>Forecast</v>
      </c>
      <c r="L94" s="507"/>
      <c r="M94" s="507"/>
      <c r="N94" s="256"/>
      <c r="O94" s="256"/>
      <c r="P94" s="256"/>
      <c r="Q94" s="256"/>
      <c r="R94" s="256"/>
      <c r="S94" s="256"/>
      <c r="T94" s="256"/>
      <c r="U94" s="256"/>
      <c r="V94" s="256"/>
      <c r="W94" s="256"/>
    </row>
    <row r="95" spans="1:23" ht="22.8">
      <c r="A95" s="342"/>
      <c r="B95" s="308"/>
      <c r="D95" s="309">
        <f>ED!D101</f>
        <v>2024</v>
      </c>
      <c r="E95" s="309">
        <f>ED!E101</f>
        <v>2025</v>
      </c>
      <c r="F95" s="309">
        <f>ED!F101</f>
        <v>2026</v>
      </c>
      <c r="G95" s="309">
        <f>ED!G101</f>
        <v>2027</v>
      </c>
      <c r="H95" s="309">
        <f>ED!H101</f>
        <v>2028</v>
      </c>
      <c r="J95" s="310" t="str">
        <f>ED!J101</f>
        <v>Cumulative to 2024</v>
      </c>
      <c r="K95" s="310" t="str">
        <f>ED!K101</f>
        <v>RIIO-2 period</v>
      </c>
      <c r="L95" s="504"/>
      <c r="M95" s="505"/>
      <c r="N95" s="256"/>
      <c r="O95" s="256"/>
      <c r="P95" s="256"/>
      <c r="Q95" s="256"/>
      <c r="R95" s="256"/>
      <c r="S95" s="256"/>
      <c r="T95" s="256"/>
      <c r="U95" s="256"/>
      <c r="V95" s="256"/>
      <c r="W95" s="256"/>
    </row>
    <row r="96" spans="1:23">
      <c r="A96" s="342"/>
      <c r="B96" s="308" t="s">
        <v>154</v>
      </c>
      <c r="C96" s="104" t="s">
        <v>228</v>
      </c>
      <c r="D96" s="337">
        <f>SUM(D105,D114,D123,D132)</f>
        <v>990.81456089813867</v>
      </c>
      <c r="E96" s="337">
        <f t="shared" ref="E96:H96" si="14">SUM(E105,E114,E123,E132)</f>
        <v>1193.7641141734391</v>
      </c>
      <c r="F96" s="337">
        <f t="shared" si="14"/>
        <v>1201.9293362584403</v>
      </c>
      <c r="G96" s="337">
        <f t="shared" si="14"/>
        <v>1157.2145770410721</v>
      </c>
      <c r="H96" s="337">
        <f t="shared" si="14"/>
        <v>1130.482458609672</v>
      </c>
      <c r="I96" s="308"/>
      <c r="J96" s="337">
        <f t="shared" ref="J96:K100" si="15">SUM(J105,J114,J123,J132)</f>
        <v>990.81456089813867</v>
      </c>
      <c r="K96" s="337">
        <f>SUM(K105,K114,K123,K132)</f>
        <v>5674.2050469807618</v>
      </c>
      <c r="L96" s="504"/>
      <c r="M96" s="505"/>
      <c r="N96" s="256"/>
      <c r="O96" s="256"/>
      <c r="P96" s="256"/>
      <c r="Q96" s="256"/>
      <c r="R96" s="256"/>
      <c r="S96" s="256"/>
      <c r="T96" s="256"/>
      <c r="U96" s="256"/>
      <c r="V96" s="256"/>
      <c r="W96" s="256"/>
    </row>
    <row r="97" spans="1:23" ht="30" customHeight="1">
      <c r="A97" s="342"/>
      <c r="B97" s="312" t="s">
        <v>155</v>
      </c>
      <c r="C97" s="104" t="s">
        <v>228</v>
      </c>
      <c r="D97" s="337">
        <f t="shared" ref="D97:H100" si="16">SUM(D106,D115,D124,D133)</f>
        <v>1166.3182626804098</v>
      </c>
      <c r="E97" s="337">
        <f t="shared" si="16"/>
        <v>1190.1735737790682</v>
      </c>
      <c r="F97" s="337">
        <f t="shared" si="16"/>
        <v>1189.7436303086522</v>
      </c>
      <c r="G97" s="337">
        <f t="shared" si="16"/>
        <v>1114.4577606573748</v>
      </c>
      <c r="H97" s="337">
        <f t="shared" si="16"/>
        <v>1143.4561240714831</v>
      </c>
      <c r="I97" s="308"/>
      <c r="J97" s="337">
        <f t="shared" si="15"/>
        <v>1166.3182626804098</v>
      </c>
      <c r="K97" s="337">
        <f t="shared" si="15"/>
        <v>5804.1493514969879</v>
      </c>
      <c r="L97" s="504"/>
      <c r="M97" s="505"/>
      <c r="N97" s="256"/>
      <c r="O97" s="256"/>
      <c r="P97" s="256"/>
      <c r="Q97" s="256"/>
      <c r="R97" s="256"/>
      <c r="S97" s="256"/>
      <c r="T97" s="256"/>
      <c r="U97" s="256"/>
      <c r="V97" s="256"/>
      <c r="W97" s="256"/>
    </row>
    <row r="98" spans="1:23">
      <c r="A98" s="342"/>
      <c r="B98" s="306" t="s">
        <v>156</v>
      </c>
      <c r="C98" s="104" t="s">
        <v>228</v>
      </c>
      <c r="D98" s="150">
        <f t="shared" si="16"/>
        <v>175.50370178227126</v>
      </c>
      <c r="E98" s="150">
        <f t="shared" si="16"/>
        <v>-3.5905403943711391</v>
      </c>
      <c r="F98" s="150">
        <f t="shared" si="16"/>
        <v>-12.185705949787973</v>
      </c>
      <c r="G98" s="150">
        <f t="shared" si="16"/>
        <v>-42.756816383697036</v>
      </c>
      <c r="H98" s="150">
        <f t="shared" si="16"/>
        <v>12.973665461811294</v>
      </c>
      <c r="I98" s="306"/>
      <c r="J98" s="150">
        <f t="shared" si="15"/>
        <v>175.50370178227126</v>
      </c>
      <c r="K98" s="150">
        <f t="shared" si="15"/>
        <v>129.94430451622674</v>
      </c>
      <c r="L98" s="504"/>
      <c r="M98" s="505"/>
      <c r="N98" s="256"/>
      <c r="O98" s="256"/>
      <c r="P98" s="256"/>
      <c r="Q98" s="256"/>
      <c r="R98" s="256"/>
      <c r="S98" s="256"/>
      <c r="T98" s="256"/>
      <c r="U98" s="256"/>
      <c r="V98" s="256"/>
      <c r="W98" s="256"/>
    </row>
    <row r="99" spans="1:23">
      <c r="A99" s="342"/>
      <c r="B99" s="308" t="s">
        <v>157</v>
      </c>
      <c r="C99" s="104" t="s">
        <v>228</v>
      </c>
      <c r="D99" s="337">
        <f t="shared" si="16"/>
        <v>-152.69782414234402</v>
      </c>
      <c r="E99" s="337">
        <f t="shared" si="16"/>
        <v>35.45975380687733</v>
      </c>
      <c r="F99" s="337">
        <f t="shared" si="16"/>
        <v>53.245278017172581</v>
      </c>
      <c r="G99" s="337">
        <f t="shared" si="16"/>
        <v>98.711561928368383</v>
      </c>
      <c r="H99" s="337">
        <f t="shared" si="16"/>
        <v>44.381230389925832</v>
      </c>
      <c r="I99" s="308"/>
      <c r="J99" s="337">
        <f t="shared" si="15"/>
        <v>-152.69782414234402</v>
      </c>
      <c r="K99" s="337">
        <f t="shared" si="15"/>
        <v>79.100000000000108</v>
      </c>
      <c r="L99" s="504"/>
      <c r="M99" s="505"/>
      <c r="N99" s="256"/>
      <c r="O99" s="256"/>
      <c r="P99" s="256"/>
      <c r="Q99" s="256"/>
      <c r="R99" s="256"/>
      <c r="S99" s="256"/>
      <c r="T99" s="256"/>
      <c r="U99" s="256"/>
      <c r="V99" s="256"/>
      <c r="W99" s="256"/>
    </row>
    <row r="100" spans="1:23">
      <c r="A100" s="342"/>
      <c r="B100" s="306" t="s">
        <v>158</v>
      </c>
      <c r="C100" s="104" t="s">
        <v>228</v>
      </c>
      <c r="D100" s="150">
        <f t="shared" si="16"/>
        <v>22.805877639927267</v>
      </c>
      <c r="E100" s="150">
        <f t="shared" si="16"/>
        <v>31.869213412506198</v>
      </c>
      <c r="F100" s="150">
        <f t="shared" si="16"/>
        <v>41.059572067384607</v>
      </c>
      <c r="G100" s="150">
        <f t="shared" si="16"/>
        <v>55.954745544671354</v>
      </c>
      <c r="H100" s="150">
        <f t="shared" si="16"/>
        <v>57.354895851737112</v>
      </c>
      <c r="I100" s="306"/>
      <c r="J100" s="150">
        <f t="shared" si="15"/>
        <v>22.805877639927267</v>
      </c>
      <c r="K100" s="150">
        <f t="shared" si="15"/>
        <v>209.04430451622682</v>
      </c>
      <c r="L100" s="506"/>
      <c r="M100" s="505"/>
      <c r="N100" s="256"/>
      <c r="O100" s="256"/>
      <c r="P100" s="256"/>
      <c r="Q100" s="256"/>
      <c r="R100" s="256"/>
      <c r="S100" s="256"/>
      <c r="T100" s="256"/>
      <c r="U100" s="256"/>
      <c r="V100" s="256"/>
      <c r="W100" s="256"/>
    </row>
    <row r="101" spans="1:23">
      <c r="A101" s="342"/>
      <c r="B101" s="306" t="s">
        <v>159</v>
      </c>
      <c r="C101" s="314" t="s">
        <v>163</v>
      </c>
      <c r="D101" s="151">
        <f>D100/D97</f>
        <v>1.9553734490545698E-2</v>
      </c>
      <c r="E101" s="151">
        <f t="shared" ref="E101:H101" si="17">E100/E97</f>
        <v>2.6776945913287501E-2</v>
      </c>
      <c r="F101" s="151">
        <f t="shared" si="17"/>
        <v>3.4511277069609214E-2</v>
      </c>
      <c r="G101" s="151">
        <f t="shared" si="17"/>
        <v>5.0208045131890734E-2</v>
      </c>
      <c r="H101" s="151">
        <f t="shared" si="17"/>
        <v>5.0159244980484768E-2</v>
      </c>
      <c r="J101" s="151">
        <f>J100/J97</f>
        <v>1.9553734490545698E-2</v>
      </c>
      <c r="K101" s="151">
        <f>K100/K97</f>
        <v>3.6016355172237384E-2</v>
      </c>
      <c r="L101" s="506"/>
      <c r="M101" s="505"/>
      <c r="N101" s="256"/>
      <c r="O101" s="256"/>
      <c r="P101" s="256"/>
      <c r="Q101" s="256"/>
      <c r="R101" s="256"/>
      <c r="S101" s="256"/>
      <c r="T101" s="256"/>
      <c r="U101" s="256"/>
      <c r="V101" s="256"/>
      <c r="W101" s="256"/>
    </row>
    <row r="103" spans="1:23">
      <c r="B103" s="306" t="s">
        <v>233</v>
      </c>
      <c r="D103" s="307" t="str">
        <f>D94</f>
        <v>Actuals</v>
      </c>
      <c r="E103" s="307" t="str">
        <f t="shared" ref="E103:H103" si="18">E94</f>
        <v>Forecast</v>
      </c>
      <c r="F103" s="307" t="str">
        <f t="shared" si="18"/>
        <v>Forecast</v>
      </c>
      <c r="G103" s="307" t="str">
        <f t="shared" si="18"/>
        <v>Forecast</v>
      </c>
      <c r="H103" s="307" t="str">
        <f t="shared" si="18"/>
        <v>Forecast</v>
      </c>
      <c r="I103" s="308"/>
    </row>
    <row r="104" spans="1:23" ht="22.8">
      <c r="B104" s="308"/>
      <c r="D104" s="309">
        <f>D95</f>
        <v>2024</v>
      </c>
      <c r="E104" s="309">
        <f t="shared" ref="E104:K104" si="19">E95</f>
        <v>2025</v>
      </c>
      <c r="F104" s="309">
        <f t="shared" si="19"/>
        <v>2026</v>
      </c>
      <c r="G104" s="309">
        <f t="shared" si="19"/>
        <v>2027</v>
      </c>
      <c r="H104" s="309">
        <f t="shared" si="19"/>
        <v>2028</v>
      </c>
      <c r="I104" s="308"/>
      <c r="J104" s="310" t="str">
        <f t="shared" si="19"/>
        <v>Cumulative to 2024</v>
      </c>
      <c r="K104" s="310" t="str">
        <f t="shared" si="19"/>
        <v>RIIO-2 period</v>
      </c>
    </row>
    <row r="105" spans="1:23">
      <c r="B105" s="308" t="s">
        <v>154</v>
      </c>
      <c r="C105" s="104" t="s">
        <v>228</v>
      </c>
      <c r="D105" s="326">
        <v>299.18456252298427</v>
      </c>
      <c r="E105" s="326">
        <v>361.54200664742575</v>
      </c>
      <c r="F105" s="326">
        <v>338.20689256930285</v>
      </c>
      <c r="G105" s="326">
        <v>332.44967563409415</v>
      </c>
      <c r="H105" s="326">
        <v>334.50240984412392</v>
      </c>
      <c r="I105" s="308"/>
      <c r="J105" s="326">
        <v>299.18456252298427</v>
      </c>
      <c r="K105" s="326">
        <v>1665.8855472179309</v>
      </c>
    </row>
    <row r="106" spans="1:23" ht="22.8">
      <c r="B106" s="312" t="s">
        <v>155</v>
      </c>
      <c r="C106" s="104" t="s">
        <v>228</v>
      </c>
      <c r="D106" s="326">
        <v>360.15307656064579</v>
      </c>
      <c r="E106" s="326">
        <v>366.9683884306022</v>
      </c>
      <c r="F106" s="326">
        <v>351.37318773619779</v>
      </c>
      <c r="G106" s="326">
        <v>341.38061031617468</v>
      </c>
      <c r="H106" s="326">
        <v>324.8774950235632</v>
      </c>
      <c r="I106" s="308"/>
      <c r="J106" s="326">
        <v>360.15307656064579</v>
      </c>
      <c r="K106" s="326">
        <v>1744.7527580671835</v>
      </c>
    </row>
    <row r="107" spans="1:23">
      <c r="B107" s="306" t="s">
        <v>156</v>
      </c>
      <c r="C107" s="104" t="s">
        <v>228</v>
      </c>
      <c r="D107" s="326">
        <v>60.968514037661507</v>
      </c>
      <c r="E107" s="326">
        <v>5.4263817831764491</v>
      </c>
      <c r="F107" s="326">
        <v>13.166295166894965</v>
      </c>
      <c r="G107" s="326">
        <v>8.9309346820805544</v>
      </c>
      <c r="H107" s="326">
        <v>-9.6249148205607433</v>
      </c>
      <c r="I107" s="308"/>
      <c r="J107" s="326">
        <v>60.968514037661507</v>
      </c>
      <c r="K107" s="326">
        <v>78.867210849252672</v>
      </c>
    </row>
    <row r="108" spans="1:23">
      <c r="B108" s="308" t="s">
        <v>157</v>
      </c>
      <c r="C108" s="104" t="s">
        <v>228</v>
      </c>
      <c r="D108" s="326">
        <v>-46.80436451685722</v>
      </c>
      <c r="E108" s="326">
        <v>16.484679884114882</v>
      </c>
      <c r="F108" s="326">
        <v>17.434777458647488</v>
      </c>
      <c r="G108" s="326">
        <v>30.620054266482668</v>
      </c>
      <c r="H108" s="326">
        <v>52.273085368442196</v>
      </c>
      <c r="I108" s="308"/>
      <c r="J108" s="326">
        <v>-46.80436451685722</v>
      </c>
      <c r="K108" s="326">
        <v>70.008232460830015</v>
      </c>
    </row>
    <row r="109" spans="1:23">
      <c r="B109" s="306" t="s">
        <v>158</v>
      </c>
      <c r="C109" s="104" t="s">
        <v>228</v>
      </c>
      <c r="D109" s="303">
        <f>D107+D108</f>
        <v>14.164149520804287</v>
      </c>
      <c r="E109" s="303">
        <f>E107+E108</f>
        <v>21.911061667291332</v>
      </c>
      <c r="F109" s="303">
        <f t="shared" ref="F109" si="20">F107+F108</f>
        <v>30.601072625542454</v>
      </c>
      <c r="G109" s="303">
        <f>G107+G108</f>
        <v>39.550988948563223</v>
      </c>
      <c r="H109" s="303">
        <f t="shared" ref="H109" si="21">H107+H108</f>
        <v>42.648170547881449</v>
      </c>
      <c r="I109" s="308"/>
      <c r="J109" s="303">
        <f>J107+J108</f>
        <v>14.164149520804287</v>
      </c>
      <c r="K109" s="303">
        <f>K107+K108</f>
        <v>148.87544331008269</v>
      </c>
    </row>
    <row r="110" spans="1:23">
      <c r="B110" s="306" t="s">
        <v>159</v>
      </c>
      <c r="C110" s="314" t="s">
        <v>163</v>
      </c>
      <c r="D110" s="151">
        <f>D109/D106</f>
        <v>3.9328136957950434E-2</v>
      </c>
      <c r="E110" s="151">
        <f>E109/E106</f>
        <v>5.9708308285074417E-2</v>
      </c>
      <c r="F110" s="151">
        <f t="shared" ref="F110:H110" si="22">F109/F106</f>
        <v>8.7089947934550355E-2</v>
      </c>
      <c r="G110" s="151">
        <f t="shared" si="22"/>
        <v>0.11585599109431696</v>
      </c>
      <c r="H110" s="151">
        <f t="shared" si="22"/>
        <v>0.13127462259208875</v>
      </c>
      <c r="J110" s="151">
        <f>J109/J106</f>
        <v>3.9328136957950434E-2</v>
      </c>
      <c r="K110" s="151">
        <f>K109/K106</f>
        <v>8.5327530002018814E-2</v>
      </c>
    </row>
    <row r="112" spans="1:23">
      <c r="B112" s="306" t="s">
        <v>234</v>
      </c>
      <c r="D112" s="307" t="str">
        <f>D103</f>
        <v>Actuals</v>
      </c>
      <c r="E112" s="307" t="str">
        <f t="shared" ref="E112:H112" si="23">E103</f>
        <v>Forecast</v>
      </c>
      <c r="F112" s="307" t="str">
        <f t="shared" si="23"/>
        <v>Forecast</v>
      </c>
      <c r="G112" s="307" t="str">
        <f t="shared" si="23"/>
        <v>Forecast</v>
      </c>
      <c r="H112" s="307" t="str">
        <f t="shared" si="23"/>
        <v>Forecast</v>
      </c>
      <c r="I112" s="308"/>
    </row>
    <row r="113" spans="2:11" ht="22.8">
      <c r="B113" s="308"/>
      <c r="D113" s="309">
        <f>D104</f>
        <v>2024</v>
      </c>
      <c r="E113" s="309">
        <f t="shared" ref="E113:H113" si="24">E104</f>
        <v>2025</v>
      </c>
      <c r="F113" s="309">
        <f t="shared" si="24"/>
        <v>2026</v>
      </c>
      <c r="G113" s="309">
        <f t="shared" si="24"/>
        <v>2027</v>
      </c>
      <c r="H113" s="309">
        <f t="shared" si="24"/>
        <v>2028</v>
      </c>
      <c r="I113" s="308"/>
      <c r="J113" s="310" t="str">
        <f t="shared" ref="J113:K113" si="25">J104</f>
        <v>Cumulative to 2024</v>
      </c>
      <c r="K113" s="310" t="str">
        <f t="shared" si="25"/>
        <v>RIIO-2 period</v>
      </c>
    </row>
    <row r="114" spans="2:11">
      <c r="B114" s="308" t="s">
        <v>154</v>
      </c>
      <c r="C114" s="104" t="s">
        <v>228</v>
      </c>
      <c r="D114" s="326">
        <v>157.92698324306124</v>
      </c>
      <c r="E114" s="326">
        <v>181.38836912336689</v>
      </c>
      <c r="F114" s="326">
        <v>193.2008755279823</v>
      </c>
      <c r="G114" s="326">
        <v>189.38753555591526</v>
      </c>
      <c r="H114" s="326">
        <v>202.57664949465277</v>
      </c>
      <c r="I114" s="308"/>
      <c r="J114" s="326">
        <v>157.92698324306124</v>
      </c>
      <c r="K114" s="326">
        <v>924.48041294497841</v>
      </c>
    </row>
    <row r="115" spans="2:11" ht="22.8">
      <c r="B115" s="312" t="s">
        <v>155</v>
      </c>
      <c r="C115" s="104" t="s">
        <v>228</v>
      </c>
      <c r="D115" s="326">
        <v>197.68282250812541</v>
      </c>
      <c r="E115" s="326">
        <v>196.54881600290639</v>
      </c>
      <c r="F115" s="326">
        <v>212.17941550908736</v>
      </c>
      <c r="G115" s="326">
        <v>194.95836732926065</v>
      </c>
      <c r="H115" s="326">
        <v>205.33056344937697</v>
      </c>
      <c r="I115" s="308"/>
      <c r="J115" s="326">
        <v>197.68282250812541</v>
      </c>
      <c r="K115" s="326">
        <v>1006.6999847987568</v>
      </c>
    </row>
    <row r="116" spans="2:11">
      <c r="B116" s="306" t="s">
        <v>156</v>
      </c>
      <c r="C116" s="104" t="s">
        <v>228</v>
      </c>
      <c r="D116" s="326">
        <v>39.755839265064161</v>
      </c>
      <c r="E116" s="326">
        <v>15.160446879539505</v>
      </c>
      <c r="F116" s="326">
        <v>18.978539981105044</v>
      </c>
      <c r="G116" s="326">
        <v>5.5708317733453949</v>
      </c>
      <c r="H116" s="326">
        <v>2.753913954724176</v>
      </c>
      <c r="I116" s="308"/>
      <c r="J116" s="326">
        <v>39.755839265064161</v>
      </c>
      <c r="K116" s="326">
        <v>82.219571853778334</v>
      </c>
    </row>
    <row r="117" spans="2:11">
      <c r="B117" s="308" t="s">
        <v>157</v>
      </c>
      <c r="C117" s="104" t="s">
        <v>228</v>
      </c>
      <c r="D117" s="326">
        <v>-25.710448184208303</v>
      </c>
      <c r="E117" s="326">
        <v>5.9700672088046076</v>
      </c>
      <c r="F117" s="326">
        <v>3.2010925983996117</v>
      </c>
      <c r="G117" s="326">
        <v>21.79913662368071</v>
      </c>
      <c r="H117" s="326">
        <v>22.789041220593163</v>
      </c>
      <c r="I117" s="308"/>
      <c r="J117" s="326">
        <v>-25.710448184208303</v>
      </c>
      <c r="K117" s="326">
        <v>28.048889467269788</v>
      </c>
    </row>
    <row r="118" spans="2:11">
      <c r="B118" s="306" t="s">
        <v>158</v>
      </c>
      <c r="C118" s="104" t="s">
        <v>228</v>
      </c>
      <c r="D118" s="303">
        <f>D116+D117</f>
        <v>14.045391080855858</v>
      </c>
      <c r="E118" s="303">
        <f>E116+E117</f>
        <v>21.130514088344114</v>
      </c>
      <c r="F118" s="303">
        <f t="shared" ref="F118" si="26">F116+F117</f>
        <v>22.179632579504656</v>
      </c>
      <c r="G118" s="303">
        <f>G116+G117</f>
        <v>27.369968397026106</v>
      </c>
      <c r="H118" s="303">
        <f t="shared" ref="H118" si="27">H116+H117</f>
        <v>25.542955175317339</v>
      </c>
      <c r="I118" s="308"/>
      <c r="J118" s="303">
        <f>J116+J117</f>
        <v>14.045391080855858</v>
      </c>
      <c r="K118" s="303">
        <f>K116+K117</f>
        <v>110.26846132104812</v>
      </c>
    </row>
    <row r="119" spans="2:11">
      <c r="B119" s="306" t="s">
        <v>159</v>
      </c>
      <c r="C119" s="314" t="s">
        <v>163</v>
      </c>
      <c r="D119" s="151">
        <f>D118/D115</f>
        <v>7.10501342638334E-2</v>
      </c>
      <c r="E119" s="151">
        <f>E118/E115</f>
        <v>0.10750771496904694</v>
      </c>
      <c r="F119" s="151">
        <f t="shared" ref="F119:H119" si="28">F118/F115</f>
        <v>0.10453244263251697</v>
      </c>
      <c r="G119" s="151">
        <f t="shared" si="28"/>
        <v>0.14038878542105149</v>
      </c>
      <c r="H119" s="151">
        <f t="shared" si="28"/>
        <v>0.12439918707774258</v>
      </c>
      <c r="J119" s="151">
        <f>J118/J115</f>
        <v>7.10501342638334E-2</v>
      </c>
      <c r="K119" s="151">
        <f>K118/K115</f>
        <v>0.10953458129145717</v>
      </c>
    </row>
    <row r="121" spans="2:11">
      <c r="B121" s="306" t="s">
        <v>235</v>
      </c>
      <c r="D121" s="307" t="str">
        <f>D112</f>
        <v>Actuals</v>
      </c>
      <c r="E121" s="307" t="str">
        <f t="shared" ref="E121:H121" si="29">E112</f>
        <v>Forecast</v>
      </c>
      <c r="F121" s="307" t="str">
        <f t="shared" si="29"/>
        <v>Forecast</v>
      </c>
      <c r="G121" s="307" t="str">
        <f t="shared" si="29"/>
        <v>Forecast</v>
      </c>
      <c r="H121" s="307" t="str">
        <f t="shared" si="29"/>
        <v>Forecast</v>
      </c>
      <c r="I121" s="308"/>
    </row>
    <row r="122" spans="2:11" ht="22.8">
      <c r="B122" s="308"/>
      <c r="D122" s="309">
        <f>D113</f>
        <v>2024</v>
      </c>
      <c r="E122" s="309">
        <f t="shared" ref="E122:H122" si="30">E113</f>
        <v>2025</v>
      </c>
      <c r="F122" s="309">
        <f t="shared" si="30"/>
        <v>2026</v>
      </c>
      <c r="G122" s="309">
        <f t="shared" si="30"/>
        <v>2027</v>
      </c>
      <c r="H122" s="309">
        <f t="shared" si="30"/>
        <v>2028</v>
      </c>
      <c r="I122" s="308"/>
      <c r="J122" s="310" t="str">
        <f t="shared" ref="J122:K122" si="31">J113</f>
        <v>Cumulative to 2024</v>
      </c>
      <c r="K122" s="310" t="str">
        <f t="shared" si="31"/>
        <v>RIIO-2 period</v>
      </c>
    </row>
    <row r="123" spans="2:11">
      <c r="B123" s="308" t="s">
        <v>154</v>
      </c>
      <c r="C123" s="104" t="s">
        <v>228</v>
      </c>
      <c r="D123" s="326">
        <v>255.32737184829364</v>
      </c>
      <c r="E123" s="326">
        <v>303.48029573381109</v>
      </c>
      <c r="F123" s="326">
        <v>329.64511774166004</v>
      </c>
      <c r="G123" s="326">
        <v>294.66659647291198</v>
      </c>
      <c r="H123" s="326">
        <v>288.4170496789572</v>
      </c>
      <c r="I123" s="308"/>
      <c r="J123" s="326">
        <v>255.32737184829364</v>
      </c>
      <c r="K123" s="326">
        <v>1471.5364314756339</v>
      </c>
    </row>
    <row r="124" spans="2:11" ht="22.8">
      <c r="B124" s="312" t="s">
        <v>155</v>
      </c>
      <c r="C124" s="104" t="s">
        <v>228</v>
      </c>
      <c r="D124" s="326">
        <v>280.04979290945221</v>
      </c>
      <c r="E124" s="326">
        <v>288.5923677376569</v>
      </c>
      <c r="F124" s="326">
        <v>301.95632275906712</v>
      </c>
      <c r="G124" s="326">
        <v>278.75082293912499</v>
      </c>
      <c r="H124" s="326">
        <v>290.9174179333308</v>
      </c>
      <c r="I124" s="308"/>
      <c r="J124" s="326">
        <v>280.04979290945221</v>
      </c>
      <c r="K124" s="326">
        <v>1440.2667242786322</v>
      </c>
    </row>
    <row r="125" spans="2:11">
      <c r="B125" s="306" t="s">
        <v>156</v>
      </c>
      <c r="C125" s="104" t="s">
        <v>228</v>
      </c>
      <c r="D125" s="326">
        <v>24.722421061158585</v>
      </c>
      <c r="E125" s="326">
        <v>-14.887927996154183</v>
      </c>
      <c r="F125" s="326">
        <v>-27.688794982592938</v>
      </c>
      <c r="G125" s="326">
        <v>-15.91577353378695</v>
      </c>
      <c r="H125" s="326">
        <v>2.5003682543735835</v>
      </c>
      <c r="I125" s="308"/>
      <c r="J125" s="326">
        <v>24.722421061158585</v>
      </c>
      <c r="K125" s="326">
        <v>-31.269707197001765</v>
      </c>
    </row>
    <row r="126" spans="2:11">
      <c r="B126" s="308" t="s">
        <v>157</v>
      </c>
      <c r="C126" s="104" t="s">
        <v>228</v>
      </c>
      <c r="D126" s="326">
        <v>-30.148051026072096</v>
      </c>
      <c r="E126" s="326">
        <v>3.6804205943166437</v>
      </c>
      <c r="F126" s="326">
        <v>15.925292971619825</v>
      </c>
      <c r="G126" s="326">
        <v>4.895554594073559</v>
      </c>
      <c r="H126" s="326">
        <v>-13.387786201749321</v>
      </c>
      <c r="I126" s="308"/>
      <c r="J126" s="326">
        <v>-30.148051026072096</v>
      </c>
      <c r="K126" s="326">
        <v>-19.03456906781139</v>
      </c>
    </row>
    <row r="127" spans="2:11">
      <c r="B127" s="306" t="s">
        <v>158</v>
      </c>
      <c r="C127" s="104" t="s">
        <v>228</v>
      </c>
      <c r="D127" s="303">
        <f>D125+D126</f>
        <v>-5.4256299649135116</v>
      </c>
      <c r="E127" s="303">
        <f>E125+E126</f>
        <v>-11.207507401837539</v>
      </c>
      <c r="F127" s="303">
        <f t="shared" ref="F127" si="32">F125+F126</f>
        <v>-11.763502010973113</v>
      </c>
      <c r="G127" s="303">
        <f>G125+G126</f>
        <v>-11.020218939713391</v>
      </c>
      <c r="H127" s="303">
        <f t="shared" ref="H127" si="33">H125+H126</f>
        <v>-10.887417947375738</v>
      </c>
      <c r="I127" s="308"/>
      <c r="J127" s="303">
        <f>J125+J126</f>
        <v>-5.4256299649135116</v>
      </c>
      <c r="K127" s="303">
        <f>K125+K126</f>
        <v>-50.304276264813154</v>
      </c>
    </row>
    <row r="128" spans="2:11">
      <c r="B128" s="306" t="s">
        <v>159</v>
      </c>
      <c r="C128" s="314" t="s">
        <v>163</v>
      </c>
      <c r="D128" s="151">
        <f>D127/D124</f>
        <v>-1.9373804595769747E-2</v>
      </c>
      <c r="E128" s="151">
        <f>E127/E124</f>
        <v>-3.8835079006752024E-2</v>
      </c>
      <c r="F128" s="151">
        <f t="shared" ref="F128:H128" si="34">F127/F124</f>
        <v>-3.8957627724057586E-2</v>
      </c>
      <c r="G128" s="151">
        <f t="shared" si="34"/>
        <v>-3.9534301005884537E-2</v>
      </c>
      <c r="H128" s="151">
        <f t="shared" si="34"/>
        <v>-3.7424427951821007E-2</v>
      </c>
      <c r="J128" s="151">
        <f>J127/J124</f>
        <v>-1.9373804595769747E-2</v>
      </c>
      <c r="K128" s="151">
        <f>K127/K124</f>
        <v>-3.4927055813226825E-2</v>
      </c>
    </row>
    <row r="130" spans="2:11">
      <c r="B130" s="306" t="s">
        <v>236</v>
      </c>
      <c r="D130" s="307" t="str">
        <f>D121</f>
        <v>Actuals</v>
      </c>
      <c r="E130" s="307" t="str">
        <f t="shared" ref="E130:H130" si="35">E121</f>
        <v>Forecast</v>
      </c>
      <c r="F130" s="307" t="str">
        <f t="shared" si="35"/>
        <v>Forecast</v>
      </c>
      <c r="G130" s="307" t="str">
        <f t="shared" si="35"/>
        <v>Forecast</v>
      </c>
      <c r="H130" s="307" t="str">
        <f t="shared" si="35"/>
        <v>Forecast</v>
      </c>
      <c r="I130" s="308"/>
    </row>
    <row r="131" spans="2:11" ht="22.8">
      <c r="B131" s="308"/>
      <c r="D131" s="309">
        <f>D122</f>
        <v>2024</v>
      </c>
      <c r="E131" s="309">
        <f t="shared" ref="E131:H131" si="36">E122</f>
        <v>2025</v>
      </c>
      <c r="F131" s="309">
        <f t="shared" si="36"/>
        <v>2026</v>
      </c>
      <c r="G131" s="309">
        <f t="shared" si="36"/>
        <v>2027</v>
      </c>
      <c r="H131" s="309">
        <f t="shared" si="36"/>
        <v>2028</v>
      </c>
      <c r="I131" s="308"/>
      <c r="J131" s="310" t="str">
        <f t="shared" ref="J131:K131" si="37">J122</f>
        <v>Cumulative to 2024</v>
      </c>
      <c r="K131" s="310" t="str">
        <f t="shared" si="37"/>
        <v>RIIO-2 period</v>
      </c>
    </row>
    <row r="132" spans="2:11">
      <c r="B132" s="308" t="s">
        <v>154</v>
      </c>
      <c r="C132" s="104" t="s">
        <v>228</v>
      </c>
      <c r="D132" s="326">
        <v>278.37564328379949</v>
      </c>
      <c r="E132" s="326">
        <v>347.3534426688355</v>
      </c>
      <c r="F132" s="326">
        <v>340.87645041949497</v>
      </c>
      <c r="G132" s="326">
        <v>340.71076937815064</v>
      </c>
      <c r="H132" s="326">
        <v>304.98634959193794</v>
      </c>
      <c r="I132" s="308"/>
      <c r="J132" s="326">
        <v>278.37564328379949</v>
      </c>
      <c r="K132" s="326">
        <v>1612.3026553422185</v>
      </c>
    </row>
    <row r="133" spans="2:11" ht="22.8">
      <c r="B133" s="312" t="s">
        <v>155</v>
      </c>
      <c r="C133" s="104" t="s">
        <v>228</v>
      </c>
      <c r="D133" s="326">
        <v>328.43257070218652</v>
      </c>
      <c r="E133" s="326">
        <v>338.06400160790258</v>
      </c>
      <c r="F133" s="326">
        <v>324.23470430429995</v>
      </c>
      <c r="G133" s="326">
        <v>299.36796007281464</v>
      </c>
      <c r="H133" s="326">
        <v>322.33064766521221</v>
      </c>
      <c r="I133" s="308"/>
      <c r="J133" s="326">
        <v>328.43257070218652</v>
      </c>
      <c r="K133" s="326">
        <v>1612.4298843524159</v>
      </c>
    </row>
    <row r="134" spans="2:11">
      <c r="B134" s="306" t="s">
        <v>156</v>
      </c>
      <c r="C134" s="104" t="s">
        <v>228</v>
      </c>
      <c r="D134" s="326">
        <v>50.056927418387033</v>
      </c>
      <c r="E134" s="326">
        <v>-9.2894410609329086</v>
      </c>
      <c r="F134" s="326">
        <v>-16.641746115195048</v>
      </c>
      <c r="G134" s="326">
        <v>-41.342809305336033</v>
      </c>
      <c r="H134" s="326">
        <v>17.344298073274278</v>
      </c>
      <c r="I134" s="308"/>
      <c r="J134" s="326">
        <v>50.056927418387033</v>
      </c>
      <c r="K134" s="326">
        <v>0.127229010197496</v>
      </c>
    </row>
    <row r="135" spans="2:11">
      <c r="B135" s="308" t="s">
        <v>157</v>
      </c>
      <c r="C135" s="104" t="s">
        <v>228</v>
      </c>
      <c r="D135" s="326">
        <v>-50.034960415206399</v>
      </c>
      <c r="E135" s="326">
        <v>9.3245861196411965</v>
      </c>
      <c r="F135" s="326">
        <v>16.684114988505655</v>
      </c>
      <c r="G135" s="326">
        <v>41.396816444131446</v>
      </c>
      <c r="H135" s="326">
        <v>-17.293109997360204</v>
      </c>
      <c r="I135" s="308"/>
      <c r="J135" s="326">
        <v>-50.034960415206399</v>
      </c>
      <c r="K135" s="326">
        <v>7.7447139711694035E-2</v>
      </c>
    </row>
    <row r="136" spans="2:11">
      <c r="B136" s="306" t="s">
        <v>158</v>
      </c>
      <c r="C136" s="104" t="s">
        <v>228</v>
      </c>
      <c r="D136" s="303">
        <f>D134+D135</f>
        <v>2.1967003180634492E-2</v>
      </c>
      <c r="E136" s="303">
        <f>E134+E135</f>
        <v>3.5145058708287991E-2</v>
      </c>
      <c r="F136" s="303">
        <f t="shared" ref="F136" si="38">F134+F135</f>
        <v>4.2368873310607569E-2</v>
      </c>
      <c r="G136" s="303">
        <f>G134+G135</f>
        <v>5.4007138795412857E-2</v>
      </c>
      <c r="H136" s="303">
        <f t="shared" ref="H136" si="39">H134+H135</f>
        <v>5.1188075914073039E-2</v>
      </c>
      <c r="I136" s="308"/>
      <c r="J136" s="303">
        <f>J134+J135</f>
        <v>2.1967003180634492E-2</v>
      </c>
      <c r="K136" s="303">
        <f>K134+K135</f>
        <v>0.20467614990919003</v>
      </c>
    </row>
    <row r="137" spans="2:11">
      <c r="B137" s="306" t="s">
        <v>159</v>
      </c>
      <c r="C137" s="314" t="s">
        <v>163</v>
      </c>
      <c r="D137" s="151">
        <f>D136/D133</f>
        <v>6.6884362697856658E-5</v>
      </c>
      <c r="E137" s="151">
        <f>E136/E133</f>
        <v>1.0395977844766315E-4</v>
      </c>
      <c r="F137" s="151">
        <f t="shared" ref="F137:H137" si="40">F136/F133</f>
        <v>1.3067346816411003E-4</v>
      </c>
      <c r="G137" s="151">
        <f t="shared" si="40"/>
        <v>1.8040387081595777E-4</v>
      </c>
      <c r="H137" s="151">
        <f t="shared" si="40"/>
        <v>1.588061088352957E-4</v>
      </c>
      <c r="J137" s="151">
        <f>J136/J133</f>
        <v>6.6884362697856658E-5</v>
      </c>
      <c r="K137" s="151">
        <f>K136/K133</f>
        <v>1.2693646520412394E-4</v>
      </c>
    </row>
  </sheetData>
  <mergeCells count="116">
    <mergeCell ref="L6:M6"/>
    <mergeCell ref="L8:M8"/>
    <mergeCell ref="I9:J9"/>
    <mergeCell ref="L9:M9"/>
    <mergeCell ref="I10:J10"/>
    <mergeCell ref="L10:M10"/>
    <mergeCell ref="I1:J1"/>
    <mergeCell ref="I2:J2"/>
    <mergeCell ref="I3:J3"/>
    <mergeCell ref="I4:J4"/>
    <mergeCell ref="L4:M4"/>
    <mergeCell ref="I6:J6"/>
    <mergeCell ref="L5:M5"/>
    <mergeCell ref="L17:M17"/>
    <mergeCell ref="L18:M18"/>
    <mergeCell ref="L19:M19"/>
    <mergeCell ref="L20:M20"/>
    <mergeCell ref="L21:M21"/>
    <mergeCell ref="L22:M22"/>
    <mergeCell ref="L11:M11"/>
    <mergeCell ref="L12:M12"/>
    <mergeCell ref="L13:M13"/>
    <mergeCell ref="L14:M14"/>
    <mergeCell ref="L15:M15"/>
    <mergeCell ref="L16:M16"/>
    <mergeCell ref="L29:M29"/>
    <mergeCell ref="L30:M30"/>
    <mergeCell ref="L31:M31"/>
    <mergeCell ref="L32:M32"/>
    <mergeCell ref="L33:M33"/>
    <mergeCell ref="L23:M23"/>
    <mergeCell ref="L24:M24"/>
    <mergeCell ref="L25:M25"/>
    <mergeCell ref="L26:M26"/>
    <mergeCell ref="L27:M27"/>
    <mergeCell ref="L28:M28"/>
    <mergeCell ref="I37:J37"/>
    <mergeCell ref="L37:M37"/>
    <mergeCell ref="L38:M38"/>
    <mergeCell ref="L39:M39"/>
    <mergeCell ref="L40:M40"/>
    <mergeCell ref="L41:M41"/>
    <mergeCell ref="I34:J34"/>
    <mergeCell ref="L34:M34"/>
    <mergeCell ref="I35:J35"/>
    <mergeCell ref="L35:M35"/>
    <mergeCell ref="I36:J36"/>
    <mergeCell ref="L36:M36"/>
    <mergeCell ref="L48:M48"/>
    <mergeCell ref="L49:M49"/>
    <mergeCell ref="L50:M50"/>
    <mergeCell ref="L51:M51"/>
    <mergeCell ref="L52:M52"/>
    <mergeCell ref="L53:M53"/>
    <mergeCell ref="L42:M42"/>
    <mergeCell ref="L43:M43"/>
    <mergeCell ref="L44:M44"/>
    <mergeCell ref="L45:M45"/>
    <mergeCell ref="L46:M46"/>
    <mergeCell ref="L47:M47"/>
    <mergeCell ref="L60:M60"/>
    <mergeCell ref="I61:J61"/>
    <mergeCell ref="L61:M61"/>
    <mergeCell ref="I62:J62"/>
    <mergeCell ref="L62:M62"/>
    <mergeCell ref="L54:M54"/>
    <mergeCell ref="L55:M55"/>
    <mergeCell ref="L56:M56"/>
    <mergeCell ref="L57:M57"/>
    <mergeCell ref="L58:M58"/>
    <mergeCell ref="L59:M59"/>
    <mergeCell ref="L67:M67"/>
    <mergeCell ref="L68:M68"/>
    <mergeCell ref="L69:M69"/>
    <mergeCell ref="L70:M70"/>
    <mergeCell ref="L71:M71"/>
    <mergeCell ref="L72:M72"/>
    <mergeCell ref="I63:J63"/>
    <mergeCell ref="L63:M63"/>
    <mergeCell ref="I64:J64"/>
    <mergeCell ref="L64:M64"/>
    <mergeCell ref="L65:M65"/>
    <mergeCell ref="L66:M66"/>
    <mergeCell ref="L79:M79"/>
    <mergeCell ref="L80:M80"/>
    <mergeCell ref="L81:M81"/>
    <mergeCell ref="L82:M82"/>
    <mergeCell ref="L83:M83"/>
    <mergeCell ref="L84:M84"/>
    <mergeCell ref="L73:M73"/>
    <mergeCell ref="L74:M74"/>
    <mergeCell ref="L75:M75"/>
    <mergeCell ref="L76:M76"/>
    <mergeCell ref="L77:M77"/>
    <mergeCell ref="L78:M78"/>
    <mergeCell ref="I90:J90"/>
    <mergeCell ref="L90:M90"/>
    <mergeCell ref="I91:J91"/>
    <mergeCell ref="L91:M91"/>
    <mergeCell ref="I92:J92"/>
    <mergeCell ref="L92:M92"/>
    <mergeCell ref="L85:M85"/>
    <mergeCell ref="L86:M86"/>
    <mergeCell ref="L87:M87"/>
    <mergeCell ref="L88:M88"/>
    <mergeCell ref="L89:M89"/>
    <mergeCell ref="L99:M99"/>
    <mergeCell ref="L100:M100"/>
    <mergeCell ref="L101:M101"/>
    <mergeCell ref="L96:M96"/>
    <mergeCell ref="L97:M97"/>
    <mergeCell ref="L98:M98"/>
    <mergeCell ref="I93:J93"/>
    <mergeCell ref="L93:M93"/>
    <mergeCell ref="L94:M94"/>
    <mergeCell ref="L95:M95"/>
  </mergeCells>
  <conditionalFormatting sqref="D94:H95 J95">
    <cfRule type="expression" dxfId="21" priority="67">
      <formula>AND(#REF!="Actuals",#REF!="Forecast")</formula>
    </cfRule>
  </conditionalFormatting>
  <conditionalFormatting sqref="K95">
    <cfRule type="expression" dxfId="19" priority="69">
      <formula>AND(#REF!="Actuals",L$6="Forecast")</formula>
    </cfRule>
  </conditionalFormatting>
  <pageMargins left="0.7" right="0.7" top="0.75" bottom="0.75" header="0.3" footer="0.3"/>
  <ignoredErrors>
    <ignoredError sqref="D29:K29" formula="1"/>
  </ignoredErrors>
  <extLst>
    <ext xmlns:x14="http://schemas.microsoft.com/office/spreadsheetml/2009/9/main" uri="{78C0D931-6437-407d-A8EE-F0AAD7539E65}">
      <x14:conditionalFormattings>
        <x14:conditionalFormatting xmlns:xm="http://schemas.microsoft.com/office/excel/2006/main">
          <x14:cfRule type="expression" priority="70" id="{F0BD1918-E455-4E85-8454-422CC9A3798D}">
            <xm:f>AND(NPg!D$7="Actuals",NPg!E$7="Forecast")</xm:f>
            <x14:dxf>
              <border>
                <right style="thin">
                  <color auto="1"/>
                </right>
                <vertical/>
                <horizontal/>
              </border>
            </x14:dxf>
          </x14:cfRule>
          <xm:sqref>D103:H104 J104 D112:H113 J113 D121:H122 J122 D130:H131 J131</xm:sqref>
        </x14:conditionalFormatting>
        <x14:conditionalFormatting xmlns:xm="http://schemas.microsoft.com/office/excel/2006/main">
          <x14:cfRule type="expression" priority="78" id="{CDBC69D3-41D1-40A1-9810-1F58B376E51E}">
            <xm:f>AND(NPg!K$7="Actuals",L$6="Forecast")</xm:f>
            <x14:dxf>
              <border>
                <right style="thin">
                  <color auto="1"/>
                </right>
                <vertical/>
                <horizontal/>
              </border>
            </x14:dxf>
          </x14:cfRule>
          <xm:sqref>K104 K113 K122 K131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CD33-7E40-44E0-B54B-2EC05C7F7D86}">
  <sheetPr>
    <tabColor theme="8" tint="0.39997558519241921"/>
  </sheetPr>
  <dimension ref="A1:W119"/>
  <sheetViews>
    <sheetView zoomScale="80" zoomScaleNormal="80" workbookViewId="0"/>
  </sheetViews>
  <sheetFormatPr defaultColWidth="9.26953125" defaultRowHeight="11.4"/>
  <cols>
    <col min="1" max="1" width="5.90625" style="314" customWidth="1"/>
    <col min="2" max="2" width="51.08984375" style="104" bestFit="1" customWidth="1"/>
    <col min="3" max="3" width="9" style="104" customWidth="1"/>
    <col min="4" max="8" width="8.08984375" style="104" customWidth="1"/>
    <col min="9" max="9" width="2.08984375" style="104" customWidth="1"/>
    <col min="10" max="10" width="9.6328125" style="104" customWidth="1"/>
    <col min="11" max="11" width="8.26953125" style="104" customWidth="1"/>
    <col min="12" max="12" width="1.08984375" style="104" bestFit="1" customWidth="1"/>
    <col min="13" max="16384" width="9.26953125" style="104"/>
  </cols>
  <sheetData>
    <row r="1" spans="1:23" ht="15.6">
      <c r="A1" s="419" t="s">
        <v>162</v>
      </c>
      <c r="B1" s="330"/>
      <c r="C1" s="331"/>
      <c r="D1" s="331"/>
      <c r="E1" s="331"/>
      <c r="F1" s="331"/>
      <c r="G1" s="332"/>
      <c r="H1" s="332"/>
      <c r="I1" s="522"/>
      <c r="J1" s="522"/>
      <c r="K1" s="254"/>
      <c r="L1" s="255" t="s">
        <v>30</v>
      </c>
      <c r="M1" s="256"/>
      <c r="N1" s="256"/>
      <c r="O1" s="256"/>
      <c r="P1" s="256"/>
      <c r="Q1" s="256"/>
      <c r="R1" s="256"/>
      <c r="S1" s="256"/>
      <c r="T1" s="256"/>
      <c r="U1" s="256"/>
      <c r="V1" s="256"/>
      <c r="W1" s="256"/>
    </row>
    <row r="2" spans="1:23" ht="15.6">
      <c r="A2" s="425" t="s">
        <v>237</v>
      </c>
      <c r="B2" s="333"/>
      <c r="C2" s="334"/>
      <c r="D2" s="334"/>
      <c r="E2" s="334"/>
      <c r="F2" s="334"/>
      <c r="G2" s="335"/>
      <c r="H2" s="335"/>
      <c r="I2" s="523"/>
      <c r="J2" s="523"/>
      <c r="K2" s="260"/>
      <c r="L2" s="261"/>
      <c r="M2" s="256"/>
      <c r="N2" s="256"/>
      <c r="O2" s="256"/>
      <c r="P2" s="256"/>
      <c r="Q2" s="256"/>
      <c r="R2" s="256"/>
      <c r="S2" s="256"/>
      <c r="T2" s="256"/>
      <c r="U2" s="256"/>
      <c r="V2" s="256"/>
      <c r="W2" s="256"/>
    </row>
    <row r="3" spans="1:23" ht="15.6">
      <c r="A3" s="430">
        <v>2024</v>
      </c>
      <c r="B3" s="335"/>
      <c r="C3" s="335"/>
      <c r="D3" s="335"/>
      <c r="E3" s="335"/>
      <c r="F3" s="335"/>
      <c r="G3" s="335"/>
      <c r="H3" s="336"/>
      <c r="I3" s="524"/>
      <c r="J3" s="524"/>
      <c r="K3" s="263"/>
      <c r="L3" s="264"/>
      <c r="M3" s="256"/>
      <c r="N3" s="256"/>
      <c r="O3" s="256"/>
      <c r="P3" s="256"/>
      <c r="Q3" s="256"/>
      <c r="R3" s="256"/>
      <c r="S3" s="256"/>
      <c r="T3" s="256"/>
      <c r="U3" s="256"/>
      <c r="V3" s="256"/>
      <c r="W3" s="256"/>
    </row>
    <row r="4" spans="1:23">
      <c r="A4" s="342"/>
      <c r="B4" s="265"/>
      <c r="C4" s="256"/>
      <c r="D4" s="256"/>
      <c r="E4" s="256"/>
      <c r="F4" s="256"/>
      <c r="G4" s="256"/>
      <c r="H4" s="256"/>
      <c r="I4" s="525"/>
      <c r="J4" s="525"/>
      <c r="K4" s="256"/>
      <c r="L4" s="505"/>
      <c r="M4" s="505"/>
      <c r="N4" s="256"/>
      <c r="O4" s="256"/>
      <c r="P4" s="256"/>
      <c r="Q4" s="256"/>
      <c r="R4" s="256"/>
      <c r="S4" s="256"/>
      <c r="T4" s="256"/>
      <c r="U4" s="256"/>
      <c r="V4" s="256"/>
      <c r="W4" s="256"/>
    </row>
    <row r="5" spans="1:23">
      <c r="A5" s="342"/>
      <c r="B5" s="265"/>
      <c r="C5" s="256"/>
      <c r="D5" s="267"/>
      <c r="E5" s="267"/>
      <c r="F5" s="267"/>
      <c r="G5" s="267"/>
      <c r="H5" s="267"/>
      <c r="I5" s="526"/>
      <c r="J5" s="527"/>
      <c r="K5" s="256"/>
      <c r="L5" s="505"/>
      <c r="M5" s="505"/>
      <c r="N5" s="256"/>
      <c r="O5" s="256"/>
      <c r="P5" s="256"/>
      <c r="Q5" s="256"/>
      <c r="R5" s="256"/>
      <c r="S5" s="256"/>
      <c r="T5" s="256"/>
      <c r="U5" s="256"/>
      <c r="V5" s="256"/>
      <c r="W5" s="256"/>
    </row>
    <row r="6" spans="1:23">
      <c r="A6" s="342"/>
      <c r="B6" s="265"/>
      <c r="C6" s="266"/>
      <c r="D6" s="267" t="s">
        <v>198</v>
      </c>
      <c r="E6" s="267" t="s">
        <v>211</v>
      </c>
      <c r="F6" s="267" t="s">
        <v>211</v>
      </c>
      <c r="G6" s="267" t="s">
        <v>211</v>
      </c>
      <c r="H6" s="267" t="s">
        <v>211</v>
      </c>
      <c r="I6" s="526"/>
      <c r="J6" s="527"/>
      <c r="K6" s="256"/>
      <c r="L6" s="504"/>
      <c r="M6" s="505"/>
      <c r="N6" s="256"/>
      <c r="O6" s="256"/>
      <c r="P6" s="256"/>
      <c r="Q6" s="256"/>
      <c r="R6" s="256"/>
      <c r="S6" s="256"/>
      <c r="T6" s="256"/>
      <c r="U6" s="256"/>
      <c r="V6" s="256"/>
      <c r="W6" s="256"/>
    </row>
    <row r="7" spans="1:23" ht="22.8">
      <c r="A7" s="342"/>
      <c r="B7" s="265"/>
      <c r="C7" s="266"/>
      <c r="D7" s="269">
        <v>2024</v>
      </c>
      <c r="E7" s="269">
        <v>2025</v>
      </c>
      <c r="F7" s="269">
        <v>2026</v>
      </c>
      <c r="G7" s="269">
        <v>2027</v>
      </c>
      <c r="H7" s="269">
        <v>2028</v>
      </c>
      <c r="I7" s="270"/>
      <c r="J7" s="271" t="s">
        <v>58</v>
      </c>
      <c r="K7" s="272" t="s">
        <v>59</v>
      </c>
      <c r="L7" s="266"/>
      <c r="M7" s="256"/>
      <c r="N7" s="256"/>
      <c r="O7" s="256"/>
      <c r="P7" s="256"/>
      <c r="Q7" s="256"/>
      <c r="R7" s="256"/>
      <c r="S7" s="256"/>
      <c r="T7" s="256"/>
      <c r="U7" s="256"/>
      <c r="V7" s="256"/>
      <c r="W7" s="256"/>
    </row>
    <row r="8" spans="1:23">
      <c r="A8" s="342"/>
      <c r="B8" s="265"/>
      <c r="C8" s="265"/>
      <c r="D8" s="265"/>
      <c r="E8" s="265"/>
      <c r="F8" s="265"/>
      <c r="G8" s="265"/>
      <c r="H8" s="265"/>
      <c r="I8" s="265"/>
      <c r="J8" s="265"/>
      <c r="K8" s="265"/>
      <c r="L8" s="507"/>
      <c r="M8" s="507"/>
      <c r="N8" s="265"/>
      <c r="O8" s="265"/>
      <c r="P8" s="265"/>
      <c r="Q8" s="265"/>
      <c r="R8" s="265"/>
      <c r="S8" s="265"/>
      <c r="T8" s="265"/>
      <c r="U8" s="256"/>
      <c r="V8" s="256"/>
      <c r="W8" s="256"/>
    </row>
    <row r="9" spans="1:23">
      <c r="A9" s="342"/>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42"/>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42"/>
      <c r="B11" s="276" t="s">
        <v>107</v>
      </c>
      <c r="C11" s="277" t="s">
        <v>163</v>
      </c>
      <c r="D11" s="316">
        <f t="shared" ref="D11:H26" si="0">D65/D$90</f>
        <v>5.2833944000000008E-2</v>
      </c>
      <c r="E11" s="316">
        <f t="shared" si="0"/>
        <v>5.5875457999999996E-2</v>
      </c>
      <c r="F11" s="316">
        <f t="shared" si="0"/>
        <v>5.5175427000000006E-2</v>
      </c>
      <c r="G11" s="316">
        <f t="shared" si="0"/>
        <v>5.5320261000000003E-2</v>
      </c>
      <c r="H11" s="316">
        <f t="shared" si="0"/>
        <v>5.5489234000000005E-2</v>
      </c>
      <c r="I11" s="278"/>
      <c r="J11" s="317">
        <f>AVERAGE(D65:INDEX(D65:H65,0,MATCH(Data!$B$3,$D$7:$H$7,0)))/AVERAGE($D$90:INDEX($D$90:$H$90,0,MATCH(Data!$B$3,$D$7:$H$7,0)))</f>
        <v>5.2833944000000008E-2</v>
      </c>
      <c r="K11" s="317">
        <f t="shared" ref="K11:K28" si="1">AVERAGE(D65:H65)/AVERAGE($D$90:$H$90)</f>
        <v>5.4975920557497795E-2</v>
      </c>
      <c r="L11" s="504"/>
      <c r="M11" s="505"/>
      <c r="N11" s="256"/>
      <c r="O11" s="256"/>
      <c r="P11" s="256"/>
      <c r="Q11" s="256"/>
      <c r="R11" s="256"/>
      <c r="S11" s="256"/>
      <c r="T11" s="256"/>
      <c r="U11" s="256"/>
      <c r="V11" s="256"/>
      <c r="W11" s="256"/>
    </row>
    <row r="12" spans="1:23">
      <c r="A12" s="342"/>
      <c r="B12" s="276" t="s">
        <v>108</v>
      </c>
      <c r="C12" s="277" t="s">
        <v>163</v>
      </c>
      <c r="D12" s="316">
        <f t="shared" si="0"/>
        <v>-1.0824372506425638E-2</v>
      </c>
      <c r="E12" s="316">
        <f t="shared" si="0"/>
        <v>-1.0286521931325138E-2</v>
      </c>
      <c r="F12" s="316">
        <f t="shared" si="0"/>
        <v>-1.2706294701279736E-3</v>
      </c>
      <c r="G12" s="316">
        <f t="shared" si="0"/>
        <v>7.962228045485388E-3</v>
      </c>
      <c r="H12" s="316">
        <f t="shared" si="0"/>
        <v>1.1703858613651304E-2</v>
      </c>
      <c r="I12" s="278"/>
      <c r="J12" s="317">
        <f>AVERAGE(D66:INDEX(D66:H66,0,MATCH(Data!$B$3,$D$7:$H$7,0)))/AVERAGE($D$90:INDEX($D$90:$H$90,0,MATCH(Data!$B$3,$D$7:$H$7,0)))</f>
        <v>-1.0824372506425638E-2</v>
      </c>
      <c r="K12" s="317">
        <f t="shared" si="1"/>
        <v>1.2079138911819018E-6</v>
      </c>
      <c r="L12" s="504"/>
      <c r="M12" s="505"/>
      <c r="N12" s="256"/>
      <c r="O12" s="256"/>
      <c r="P12" s="256"/>
      <c r="Q12" s="256"/>
      <c r="R12" s="256"/>
      <c r="S12" s="256"/>
      <c r="T12" s="256"/>
      <c r="U12" s="256"/>
      <c r="V12" s="256"/>
      <c r="W12" s="256"/>
    </row>
    <row r="13" spans="1:23">
      <c r="A13" s="342" t="s">
        <v>212</v>
      </c>
      <c r="B13" s="276" t="s">
        <v>109</v>
      </c>
      <c r="C13" s="277" t="s">
        <v>163</v>
      </c>
      <c r="D13" s="316">
        <f t="shared" si="0"/>
        <v>0</v>
      </c>
      <c r="E13" s="316">
        <f t="shared" si="0"/>
        <v>0</v>
      </c>
      <c r="F13" s="316">
        <f t="shared" si="0"/>
        <v>0</v>
      </c>
      <c r="G13" s="316">
        <f t="shared" si="0"/>
        <v>0</v>
      </c>
      <c r="H13" s="316">
        <f t="shared" si="0"/>
        <v>0</v>
      </c>
      <c r="I13" s="278"/>
      <c r="J13" s="317">
        <f>AVERAGE(D67:INDEX(D67:H67,0,MATCH(Data!$B$3,$D$7:$H$7,0)))/AVERAGE($D$90:INDEX($D$90:$H$90,0,MATCH(Data!$B$3,$D$7:$H$7,0)))</f>
        <v>0</v>
      </c>
      <c r="K13" s="317">
        <f t="shared" si="1"/>
        <v>0</v>
      </c>
      <c r="L13" s="504"/>
      <c r="M13" s="505"/>
      <c r="N13" s="256"/>
      <c r="O13" s="256"/>
      <c r="P13" s="256"/>
      <c r="Q13" s="256"/>
      <c r="R13" s="256"/>
      <c r="S13" s="256"/>
      <c r="T13" s="256"/>
      <c r="U13" s="256"/>
      <c r="V13" s="256"/>
      <c r="W13" s="256"/>
    </row>
    <row r="14" spans="1:23">
      <c r="A14" s="342" t="s">
        <v>213</v>
      </c>
      <c r="B14" s="276" t="s">
        <v>110</v>
      </c>
      <c r="C14" s="277" t="s">
        <v>163</v>
      </c>
      <c r="D14" s="316">
        <f t="shared" si="0"/>
        <v>-1.4564592873236642E-4</v>
      </c>
      <c r="E14" s="316">
        <f t="shared" si="0"/>
        <v>-6.8697446735401218E-5</v>
      </c>
      <c r="F14" s="316">
        <f t="shared" si="0"/>
        <v>-6.5766410257285141E-5</v>
      </c>
      <c r="G14" s="316">
        <f t="shared" si="0"/>
        <v>-6.2869106116019587E-5</v>
      </c>
      <c r="H14" s="316">
        <f t="shared" si="0"/>
        <v>-6.0059471448318659E-5</v>
      </c>
      <c r="I14" s="278"/>
      <c r="J14" s="317">
        <f>AVERAGE(D68:INDEX(D68:H68,0,MATCH(Data!$B$3,$D$7:$H$7,0)))/AVERAGE($D$90:INDEX($D$90:$H$90,0,MATCH(Data!$B$3,$D$7:$H$7,0)))</f>
        <v>-1.4564592873236642E-4</v>
      </c>
      <c r="K14" s="317">
        <f t="shared" si="1"/>
        <v>-7.9196488635813945E-5</v>
      </c>
      <c r="L14" s="504"/>
      <c r="M14" s="505"/>
      <c r="N14" s="256"/>
      <c r="O14" s="256"/>
      <c r="P14" s="256"/>
      <c r="Q14" s="256"/>
      <c r="R14" s="256"/>
      <c r="S14" s="256"/>
      <c r="T14" s="256"/>
      <c r="U14" s="256"/>
      <c r="V14" s="256"/>
      <c r="W14" s="256"/>
    </row>
    <row r="15" spans="1:23">
      <c r="A15" s="342" t="s">
        <v>214</v>
      </c>
      <c r="B15" s="276" t="s">
        <v>111</v>
      </c>
      <c r="C15" s="277" t="s">
        <v>163</v>
      </c>
      <c r="D15" s="316">
        <f t="shared" si="0"/>
        <v>-2.0130725366866564E-3</v>
      </c>
      <c r="E15" s="316">
        <f t="shared" si="0"/>
        <v>7.7620805692817639E-4</v>
      </c>
      <c r="F15" s="316">
        <f t="shared" si="0"/>
        <v>7.4309046322448369E-4</v>
      </c>
      <c r="G15" s="316">
        <f t="shared" si="0"/>
        <v>7.1035400903742029E-4</v>
      </c>
      <c r="H15" s="316">
        <f t="shared" si="0"/>
        <v>6.7860812662501996E-4</v>
      </c>
      <c r="I15" s="278"/>
      <c r="J15" s="317">
        <f>AVERAGE(D69:INDEX(D69:H69,0,MATCH(Data!$B$3,$D$7:$H$7,0)))/AVERAGE($D$90:INDEX($D$90:$H$90,0,MATCH(Data!$B$3,$D$7:$H$7,0)))</f>
        <v>-2.0130725366866564E-3</v>
      </c>
      <c r="K15" s="317">
        <f t="shared" si="1"/>
        <v>2.2067848585522804E-4</v>
      </c>
      <c r="L15" s="504"/>
      <c r="M15" s="505"/>
      <c r="N15" s="256"/>
      <c r="O15" s="256"/>
      <c r="P15" s="256"/>
      <c r="Q15" s="256"/>
      <c r="R15" s="256"/>
      <c r="S15" s="256"/>
      <c r="T15" s="256"/>
      <c r="U15" s="256"/>
      <c r="V15" s="256"/>
      <c r="W15" s="256"/>
    </row>
    <row r="16" spans="1:23">
      <c r="A16" s="342" t="s">
        <v>215</v>
      </c>
      <c r="B16" s="276" t="s">
        <v>112</v>
      </c>
      <c r="C16" s="277" t="s">
        <v>163</v>
      </c>
      <c r="D16" s="316">
        <f t="shared" si="0"/>
        <v>-7.0461339380814931E-3</v>
      </c>
      <c r="E16" s="316">
        <f t="shared" si="0"/>
        <v>-1.9704282539783693E-3</v>
      </c>
      <c r="F16" s="316">
        <f t="shared" si="0"/>
        <v>3.1989002151434611E-4</v>
      </c>
      <c r="G16" s="316">
        <f t="shared" si="0"/>
        <v>1.3005404465472703E-3</v>
      </c>
      <c r="H16" s="316">
        <f t="shared" si="0"/>
        <v>2.3375934613524929E-3</v>
      </c>
      <c r="I16" s="278"/>
      <c r="J16" s="317">
        <f>AVERAGE(D70:INDEX(D70:H70,0,MATCH(Data!$B$3,$D$7:$H$7,0)))/AVERAGE($D$90:INDEX($D$90:$H$90,0,MATCH(Data!$B$3,$D$7:$H$7,0)))</f>
        <v>-7.0461339380814931E-3</v>
      </c>
      <c r="K16" s="317">
        <f t="shared" si="1"/>
        <v>-8.2984866206377631E-4</v>
      </c>
      <c r="L16" s="504"/>
      <c r="M16" s="505"/>
      <c r="N16" s="256"/>
      <c r="O16" s="256"/>
      <c r="P16" s="256"/>
      <c r="Q16" s="256"/>
      <c r="R16" s="256"/>
      <c r="S16" s="256"/>
      <c r="T16" s="256"/>
      <c r="U16" s="256"/>
      <c r="V16" s="256"/>
      <c r="W16" s="256"/>
    </row>
    <row r="17" spans="1:23">
      <c r="A17" s="342" t="s">
        <v>216</v>
      </c>
      <c r="B17" s="276" t="s">
        <v>113</v>
      </c>
      <c r="C17" s="277" t="s">
        <v>163</v>
      </c>
      <c r="D17" s="316">
        <f t="shared" si="0"/>
        <v>0</v>
      </c>
      <c r="E17" s="316">
        <f t="shared" si="0"/>
        <v>0</v>
      </c>
      <c r="F17" s="316">
        <f t="shared" si="0"/>
        <v>0</v>
      </c>
      <c r="G17" s="316">
        <f t="shared" si="0"/>
        <v>0</v>
      </c>
      <c r="H17" s="316">
        <f t="shared" si="0"/>
        <v>0</v>
      </c>
      <c r="I17" s="278"/>
      <c r="J17" s="317">
        <f>AVERAGE(D71:INDEX(D71:H71,0,MATCH(Data!$B$3,$D$7:$H$7,0)))/AVERAGE($D$90:INDEX($D$90:$H$90,0,MATCH(Data!$B$3,$D$7:$H$7,0)))</f>
        <v>0</v>
      </c>
      <c r="K17" s="317">
        <f t="shared" si="1"/>
        <v>0</v>
      </c>
      <c r="L17" s="504"/>
      <c r="M17" s="505"/>
      <c r="N17" s="256"/>
      <c r="O17" s="256"/>
      <c r="P17" s="256"/>
      <c r="Q17" s="256"/>
      <c r="R17" s="256"/>
      <c r="S17" s="256"/>
      <c r="T17" s="256"/>
      <c r="U17" s="256"/>
      <c r="V17" s="256"/>
      <c r="W17" s="256"/>
    </row>
    <row r="18" spans="1:23">
      <c r="A18" s="342" t="s">
        <v>217</v>
      </c>
      <c r="B18" s="276" t="s">
        <v>114</v>
      </c>
      <c r="C18" s="277" t="s">
        <v>163</v>
      </c>
      <c r="D18" s="316">
        <f t="shared" si="0"/>
        <v>0</v>
      </c>
      <c r="E18" s="316">
        <f t="shared" si="0"/>
        <v>0</v>
      </c>
      <c r="F18" s="316">
        <f t="shared" si="0"/>
        <v>0</v>
      </c>
      <c r="G18" s="316">
        <f t="shared" si="0"/>
        <v>0</v>
      </c>
      <c r="H18" s="316">
        <f t="shared" si="0"/>
        <v>0</v>
      </c>
      <c r="I18" s="278"/>
      <c r="J18" s="317">
        <f>AVERAGE(D72:INDEX(D72:H72,0,MATCH(Data!$B$3,$D$7:$H$7,0)))/AVERAGE($D$90:INDEX($D$90:$H$90,0,MATCH(Data!$B$3,$D$7:$H$7,0)))</f>
        <v>0</v>
      </c>
      <c r="K18" s="317">
        <f t="shared" si="1"/>
        <v>0</v>
      </c>
      <c r="L18" s="504"/>
      <c r="M18" s="505"/>
      <c r="N18" s="256"/>
      <c r="O18" s="256"/>
      <c r="P18" s="256"/>
      <c r="Q18" s="256"/>
      <c r="R18" s="256"/>
      <c r="S18" s="256"/>
      <c r="T18" s="256"/>
      <c r="U18" s="256"/>
      <c r="V18" s="256"/>
      <c r="W18" s="256"/>
    </row>
    <row r="19" spans="1:23">
      <c r="A19" s="342" t="s">
        <v>218</v>
      </c>
      <c r="B19" s="276" t="s">
        <v>115</v>
      </c>
      <c r="C19" s="277" t="s">
        <v>163</v>
      </c>
      <c r="D19" s="316">
        <f t="shared" si="0"/>
        <v>5.1658478622087145E-4</v>
      </c>
      <c r="E19" s="316">
        <f t="shared" si="0"/>
        <v>0</v>
      </c>
      <c r="F19" s="316">
        <f t="shared" si="0"/>
        <v>0</v>
      </c>
      <c r="G19" s="316">
        <f t="shared" si="0"/>
        <v>0</v>
      </c>
      <c r="H19" s="316">
        <f t="shared" si="0"/>
        <v>0</v>
      </c>
      <c r="I19" s="278"/>
      <c r="J19" s="317">
        <f>AVERAGE(D73:INDEX(D73:H73,0,MATCH(Data!$B$3,$D$7:$H$7,0)))/AVERAGE($D$90:INDEX($D$90:$H$90,0,MATCH(Data!$B$3,$D$7:$H$7,0)))</f>
        <v>5.1658478622087145E-4</v>
      </c>
      <c r="K19" s="317">
        <f t="shared" si="1"/>
        <v>9.5186259870901497E-5</v>
      </c>
      <c r="L19" s="504"/>
      <c r="M19" s="505"/>
      <c r="N19" s="256"/>
      <c r="O19" s="256"/>
      <c r="P19" s="256"/>
      <c r="Q19" s="256"/>
      <c r="R19" s="256"/>
      <c r="S19" s="256"/>
      <c r="T19" s="256"/>
      <c r="U19" s="256"/>
      <c r="V19" s="256"/>
      <c r="W19" s="256"/>
    </row>
    <row r="20" spans="1:23">
      <c r="A20" s="342" t="s">
        <v>219</v>
      </c>
      <c r="B20" s="276" t="s">
        <v>118</v>
      </c>
      <c r="C20" s="277" t="s">
        <v>163</v>
      </c>
      <c r="D20" s="316">
        <f t="shared" si="0"/>
        <v>-1.2237986592336333E-4</v>
      </c>
      <c r="E20" s="316">
        <f t="shared" si="0"/>
        <v>-1.6095964619447736E-4</v>
      </c>
      <c r="F20" s="316">
        <f t="shared" si="0"/>
        <v>-1.2651244869601479E-4</v>
      </c>
      <c r="G20" s="316">
        <f t="shared" si="0"/>
        <v>-8.5789248627118108E-5</v>
      </c>
      <c r="H20" s="316">
        <f t="shared" si="0"/>
        <v>-6.6418625022425675E-5</v>
      </c>
      <c r="I20" s="278"/>
      <c r="J20" s="317">
        <f>AVERAGE(D74:INDEX(D74:H74,0,MATCH(Data!$B$3,$D$7:$H$7,0)))/AVERAGE($D$90:INDEX($D$90:$H$90,0,MATCH(Data!$B$3,$D$7:$H$7,0)))</f>
        <v>-1.2237986592336333E-4</v>
      </c>
      <c r="K20" s="317">
        <f t="shared" si="1"/>
        <v>-1.1073835435676565E-4</v>
      </c>
      <c r="L20" s="504"/>
      <c r="M20" s="505"/>
      <c r="N20" s="256"/>
      <c r="O20" s="256"/>
      <c r="P20" s="256"/>
      <c r="Q20" s="256"/>
      <c r="R20" s="256"/>
      <c r="S20" s="256"/>
      <c r="T20" s="256"/>
      <c r="U20" s="256"/>
      <c r="V20" s="256"/>
      <c r="W20" s="256"/>
    </row>
    <row r="21" spans="1:23">
      <c r="A21" s="342" t="s">
        <v>220</v>
      </c>
      <c r="B21" s="276" t="s">
        <v>119</v>
      </c>
      <c r="C21" s="277" t="s">
        <v>163</v>
      </c>
      <c r="D21" s="316">
        <f t="shared" si="0"/>
        <v>-7.5610926814436845E-5</v>
      </c>
      <c r="E21" s="316">
        <f t="shared" si="0"/>
        <v>0</v>
      </c>
      <c r="F21" s="316">
        <f t="shared" si="0"/>
        <v>0</v>
      </c>
      <c r="G21" s="316">
        <f t="shared" si="0"/>
        <v>0</v>
      </c>
      <c r="H21" s="316">
        <f t="shared" si="0"/>
        <v>0</v>
      </c>
      <c r="I21" s="278"/>
      <c r="J21" s="317">
        <f>AVERAGE(D75:INDEX(D75:H75,0,MATCH(Data!$B$3,$D$7:$H$7,0)))/AVERAGE($D$90:INDEX($D$90:$H$90,0,MATCH(Data!$B$3,$D$7:$H$7,0)))</f>
        <v>-7.5610926814436845E-5</v>
      </c>
      <c r="K21" s="317">
        <f t="shared" si="1"/>
        <v>-1.3932120187839778E-5</v>
      </c>
      <c r="L21" s="504"/>
      <c r="M21" s="505"/>
      <c r="N21" s="256"/>
      <c r="O21" s="256"/>
      <c r="P21" s="256"/>
      <c r="Q21" s="256"/>
      <c r="R21" s="256"/>
      <c r="S21" s="256"/>
      <c r="T21" s="256"/>
      <c r="U21" s="256"/>
      <c r="V21" s="256"/>
      <c r="W21" s="256"/>
    </row>
    <row r="22" spans="1:23">
      <c r="A22" s="342" t="s">
        <v>221</v>
      </c>
      <c r="B22" s="276" t="s">
        <v>120</v>
      </c>
      <c r="C22" s="277" t="s">
        <v>163</v>
      </c>
      <c r="D22" s="316">
        <f t="shared" si="0"/>
        <v>-7.1834517020772431E-5</v>
      </c>
      <c r="E22" s="316">
        <f t="shared" si="0"/>
        <v>-3.3512152860994364E-5</v>
      </c>
      <c r="F22" s="316">
        <f t="shared" si="0"/>
        <v>-1.0068244813001812E-4</v>
      </c>
      <c r="G22" s="316">
        <f t="shared" si="0"/>
        <v>-3.9019891079807381E-5</v>
      </c>
      <c r="H22" s="316">
        <f t="shared" si="0"/>
        <v>-1.7399517822820441E-5</v>
      </c>
      <c r="I22" s="278"/>
      <c r="J22" s="317">
        <f>AVERAGE(D76:INDEX(D76:H76,0,MATCH(Data!$B$3,$D$7:$H$7,0)))/AVERAGE($D$90:INDEX($D$90:$H$90,0,MATCH(Data!$B$3,$D$7:$H$7,0)))</f>
        <v>-7.1834517020772431E-5</v>
      </c>
      <c r="K22" s="317">
        <f t="shared" si="1"/>
        <v>-5.1577823806111345E-5</v>
      </c>
      <c r="L22" s="504"/>
      <c r="M22" s="505"/>
      <c r="N22" s="256"/>
      <c r="O22" s="256"/>
      <c r="P22" s="256"/>
      <c r="Q22" s="256"/>
      <c r="R22" s="256"/>
      <c r="S22" s="256"/>
      <c r="T22" s="256"/>
      <c r="U22" s="256"/>
      <c r="V22" s="256"/>
      <c r="W22" s="256"/>
    </row>
    <row r="23" spans="1:23">
      <c r="A23" s="342" t="s">
        <v>222</v>
      </c>
      <c r="B23" s="276">
        <v>0</v>
      </c>
      <c r="C23" s="277" t="s">
        <v>163</v>
      </c>
      <c r="D23" s="316">
        <f t="shared" si="0"/>
        <v>0</v>
      </c>
      <c r="E23" s="316">
        <f t="shared" si="0"/>
        <v>0</v>
      </c>
      <c r="F23" s="316">
        <f t="shared" si="0"/>
        <v>0</v>
      </c>
      <c r="G23" s="316">
        <f t="shared" si="0"/>
        <v>0</v>
      </c>
      <c r="H23" s="316">
        <f t="shared" si="0"/>
        <v>0</v>
      </c>
      <c r="I23" s="278"/>
      <c r="J23" s="317">
        <f>AVERAGE(D77:INDEX(D77:H77,0,MATCH(Data!$B$3,$D$7:$H$7,0)))/AVERAGE($D$90:INDEX($D$90:$H$90,0,MATCH(Data!$B$3,$D$7:$H$7,0)))</f>
        <v>0</v>
      </c>
      <c r="K23" s="317">
        <f t="shared" si="1"/>
        <v>0</v>
      </c>
      <c r="L23" s="504"/>
      <c r="M23" s="505"/>
      <c r="N23" s="256"/>
      <c r="O23" s="256"/>
      <c r="P23" s="256"/>
      <c r="Q23" s="256"/>
      <c r="R23" s="256"/>
      <c r="S23" s="256"/>
      <c r="T23" s="256"/>
      <c r="U23" s="256"/>
      <c r="V23" s="256"/>
      <c r="W23" s="256"/>
    </row>
    <row r="24" spans="1:23">
      <c r="A24" s="342" t="s">
        <v>223</v>
      </c>
      <c r="B24" s="276">
        <v>0</v>
      </c>
      <c r="C24" s="277" t="s">
        <v>163</v>
      </c>
      <c r="D24" s="316">
        <f t="shared" si="0"/>
        <v>0</v>
      </c>
      <c r="E24" s="316">
        <f t="shared" si="0"/>
        <v>0</v>
      </c>
      <c r="F24" s="316">
        <f t="shared" si="0"/>
        <v>0</v>
      </c>
      <c r="G24" s="316">
        <f t="shared" si="0"/>
        <v>0</v>
      </c>
      <c r="H24" s="316">
        <f t="shared" si="0"/>
        <v>0</v>
      </c>
      <c r="I24" s="278"/>
      <c r="J24" s="317">
        <f>AVERAGE(D78:INDEX(D78:H78,0,MATCH(Data!$B$3,$D$7:$H$7,0)))/AVERAGE($D$90:INDEX($D$90:$H$90,0,MATCH(Data!$B$3,$D$7:$H$7,0)))</f>
        <v>0</v>
      </c>
      <c r="K24" s="317">
        <f t="shared" si="1"/>
        <v>0</v>
      </c>
      <c r="L24" s="504"/>
      <c r="M24" s="505"/>
      <c r="N24" s="256"/>
      <c r="O24" s="256"/>
      <c r="P24" s="256"/>
      <c r="Q24" s="256"/>
      <c r="R24" s="256"/>
      <c r="S24" s="256"/>
      <c r="T24" s="256"/>
      <c r="U24" s="256"/>
      <c r="V24" s="256"/>
      <c r="W24" s="256"/>
    </row>
    <row r="25" spans="1:23">
      <c r="A25" s="342" t="s">
        <v>224</v>
      </c>
      <c r="B25" s="276">
        <v>0</v>
      </c>
      <c r="C25" s="277" t="s">
        <v>163</v>
      </c>
      <c r="D25" s="316">
        <f t="shared" si="0"/>
        <v>0</v>
      </c>
      <c r="E25" s="316">
        <f t="shared" si="0"/>
        <v>0</v>
      </c>
      <c r="F25" s="316">
        <f t="shared" si="0"/>
        <v>0</v>
      </c>
      <c r="G25" s="316">
        <f t="shared" si="0"/>
        <v>0</v>
      </c>
      <c r="H25" s="316">
        <f t="shared" si="0"/>
        <v>0</v>
      </c>
      <c r="I25" s="278"/>
      <c r="J25" s="317">
        <f>AVERAGE(D79:INDEX(D79:H79,0,MATCH(Data!$B$3,$D$7:$H$7,0)))/AVERAGE($D$90:INDEX($D$90:$H$90,0,MATCH(Data!$B$3,$D$7:$H$7,0)))</f>
        <v>0</v>
      </c>
      <c r="K25" s="317">
        <f t="shared" si="1"/>
        <v>0</v>
      </c>
      <c r="L25" s="504"/>
      <c r="M25" s="505"/>
      <c r="N25" s="256"/>
      <c r="O25" s="256"/>
      <c r="P25" s="256"/>
      <c r="Q25" s="256"/>
      <c r="R25" s="256"/>
      <c r="S25" s="256"/>
      <c r="T25" s="256"/>
      <c r="U25" s="256"/>
      <c r="V25" s="256"/>
      <c r="W25" s="256"/>
    </row>
    <row r="26" spans="1:23">
      <c r="A26" s="342" t="s">
        <v>225</v>
      </c>
      <c r="B26" s="276">
        <v>0</v>
      </c>
      <c r="C26" s="277" t="s">
        <v>163</v>
      </c>
      <c r="D26" s="316">
        <f t="shared" si="0"/>
        <v>0</v>
      </c>
      <c r="E26" s="316">
        <f t="shared" si="0"/>
        <v>0</v>
      </c>
      <c r="F26" s="316">
        <f t="shared" si="0"/>
        <v>0</v>
      </c>
      <c r="G26" s="316">
        <f t="shared" si="0"/>
        <v>0</v>
      </c>
      <c r="H26" s="316">
        <f t="shared" si="0"/>
        <v>0</v>
      </c>
      <c r="I26" s="278"/>
      <c r="J26" s="317">
        <f>AVERAGE(D80:INDEX(D80:H80,0,MATCH(Data!$B$3,$D$7:$H$7,0)))/AVERAGE($D$90:INDEX($D$90:$H$90,0,MATCH(Data!$B$3,$D$7:$H$7,0)))</f>
        <v>0</v>
      </c>
      <c r="K26" s="317">
        <f t="shared" si="1"/>
        <v>0</v>
      </c>
      <c r="L26" s="504"/>
      <c r="M26" s="505"/>
      <c r="N26" s="256"/>
      <c r="O26" s="256"/>
      <c r="P26" s="256"/>
      <c r="Q26" s="256"/>
      <c r="R26" s="256"/>
      <c r="S26" s="256"/>
      <c r="T26" s="256"/>
      <c r="U26" s="256"/>
      <c r="V26" s="256"/>
      <c r="W26" s="256"/>
    </row>
    <row r="27" spans="1:23">
      <c r="A27" s="342" t="s">
        <v>226</v>
      </c>
      <c r="B27" s="276">
        <v>0</v>
      </c>
      <c r="C27" s="277" t="s">
        <v>163</v>
      </c>
      <c r="D27" s="316">
        <f t="shared" ref="D27:H28" si="2">D81/D$90</f>
        <v>0</v>
      </c>
      <c r="E27" s="316">
        <f t="shared" si="2"/>
        <v>0</v>
      </c>
      <c r="F27" s="316">
        <f t="shared" si="2"/>
        <v>0</v>
      </c>
      <c r="G27" s="316">
        <f t="shared" si="2"/>
        <v>0</v>
      </c>
      <c r="H27" s="316">
        <f t="shared" si="2"/>
        <v>0</v>
      </c>
      <c r="I27" s="278"/>
      <c r="J27" s="317">
        <f>AVERAGE(D81:INDEX(D81:H81,0,MATCH(Data!$B$3,$D$7:$H$7,0)))/AVERAGE($D$90:INDEX($D$90:$H$90,0,MATCH(Data!$B$3,$D$7:$H$7,0)))</f>
        <v>0</v>
      </c>
      <c r="K27" s="317">
        <f t="shared" si="1"/>
        <v>0</v>
      </c>
      <c r="L27" s="504"/>
      <c r="M27" s="505"/>
      <c r="N27" s="256"/>
      <c r="O27" s="256"/>
      <c r="P27" s="256"/>
      <c r="Q27" s="256"/>
      <c r="R27" s="256"/>
      <c r="S27" s="256"/>
      <c r="T27" s="256"/>
      <c r="U27" s="256"/>
      <c r="V27" s="256"/>
      <c r="W27" s="256"/>
    </row>
    <row r="28" spans="1:23">
      <c r="A28" s="342"/>
      <c r="B28" s="276" t="s">
        <v>121</v>
      </c>
      <c r="C28" s="277" t="s">
        <v>163</v>
      </c>
      <c r="D28" s="316">
        <f t="shared" si="2"/>
        <v>-1.0939731648808592E-3</v>
      </c>
      <c r="E28" s="316">
        <f t="shared" si="2"/>
        <v>-6.6940412422838698E-4</v>
      </c>
      <c r="F28" s="316">
        <f t="shared" si="2"/>
        <v>-6.309893867414366E-4</v>
      </c>
      <c r="G28" s="316">
        <f t="shared" si="2"/>
        <v>-3.629454912826337E-4</v>
      </c>
      <c r="H28" s="316">
        <f t="shared" si="2"/>
        <v>-3.4523518529343332E-4</v>
      </c>
      <c r="I28" s="278"/>
      <c r="J28" s="317">
        <f>AVERAGE(D82:INDEX(D82:H82,0,MATCH(Data!$B$3,$D$7:$H$7,0)))/AVERAGE($D$90:INDEX($D$90:$H$90,0,MATCH(Data!$B$3,$D$7:$H$7,0)))</f>
        <v>-1.0939731648808592E-3</v>
      </c>
      <c r="K28" s="317">
        <f t="shared" si="1"/>
        <v>-6.0552971496468137E-4</v>
      </c>
      <c r="L28" s="504"/>
      <c r="M28" s="505"/>
      <c r="N28" s="256"/>
      <c r="O28" s="256"/>
      <c r="P28" s="256"/>
      <c r="Q28" s="256"/>
      <c r="R28" s="256"/>
      <c r="S28" s="256"/>
      <c r="T28" s="256"/>
      <c r="U28" s="256"/>
      <c r="V28" s="256"/>
      <c r="W28" s="256"/>
    </row>
    <row r="29" spans="1:23">
      <c r="A29" s="342"/>
      <c r="B29" s="279" t="s">
        <v>122</v>
      </c>
      <c r="C29" s="281" t="s">
        <v>163</v>
      </c>
      <c r="D29" s="324">
        <f>SUM(D11:D28)</f>
        <v>3.1957505401655296E-2</v>
      </c>
      <c r="E29" s="324">
        <f t="shared" ref="E29:H29" si="3">SUM(E11:E28)</f>
        <v>4.3462142501605405E-2</v>
      </c>
      <c r="F29" s="324">
        <f t="shared" si="3"/>
        <v>5.4043827320786109E-2</v>
      </c>
      <c r="G29" s="324">
        <f t="shared" si="3"/>
        <v>6.47427597639645E-2</v>
      </c>
      <c r="H29" s="324">
        <f t="shared" si="3"/>
        <v>6.9720181402041836E-2</v>
      </c>
      <c r="I29" s="287"/>
      <c r="J29" s="151">
        <f>SUM(J11:J28)</f>
        <v>3.1957505401655296E-2</v>
      </c>
      <c r="K29" s="151">
        <f>SUM(K11:K28)</f>
        <v>5.3602170053100119E-2</v>
      </c>
      <c r="L29" s="514"/>
      <c r="M29" s="505"/>
      <c r="N29" s="256"/>
      <c r="O29" s="256"/>
      <c r="P29" s="256"/>
      <c r="Q29" s="256"/>
      <c r="R29" s="256"/>
      <c r="S29" s="256"/>
      <c r="T29" s="256"/>
      <c r="U29" s="256"/>
      <c r="V29" s="256"/>
      <c r="W29" s="256"/>
    </row>
    <row r="30" spans="1:23">
      <c r="A30" s="342"/>
      <c r="B30" s="276" t="s">
        <v>123</v>
      </c>
      <c r="C30" s="277" t="s">
        <v>163</v>
      </c>
      <c r="D30" s="282">
        <f>(D84)/D$90</f>
        <v>0.11523461534814358</v>
      </c>
      <c r="E30" s="283">
        <f t="shared" ref="E30:H30" si="4">(E84)/E$90</f>
        <v>3.5745438331913522E-2</v>
      </c>
      <c r="F30" s="283">
        <f t="shared" si="4"/>
        <v>8.5637606454630026E-3</v>
      </c>
      <c r="G30" s="283">
        <f t="shared" si="4"/>
        <v>9.9719971262355288E-3</v>
      </c>
      <c r="H30" s="283">
        <f t="shared" si="4"/>
        <v>9.8607695968548643E-3</v>
      </c>
      <c r="I30" s="194"/>
      <c r="J30" s="317">
        <f>AVERAGE(D84:INDEX(D84:H84,0,MATCH(Data!$B$3,$D$7:$H$7,0)))/AVERAGE($D$90:INDEX($D$90:$H$90,0,MATCH(Data!$B$3,$D$7:$H$7,0)))</f>
        <v>0.11523461534814358</v>
      </c>
      <c r="K30" s="285">
        <f>AVERAGE(D84:H84)/AVERAGE($D$90:$H$90)</f>
        <v>3.3974211911436222E-2</v>
      </c>
      <c r="L30" s="504"/>
      <c r="M30" s="505"/>
      <c r="N30" s="256"/>
      <c r="O30" s="256"/>
      <c r="P30" s="256"/>
      <c r="Q30" s="256"/>
      <c r="R30" s="256"/>
      <c r="S30" s="256"/>
      <c r="T30" s="256"/>
      <c r="U30" s="256"/>
      <c r="V30" s="256"/>
      <c r="W30" s="256"/>
    </row>
    <row r="31" spans="1:23">
      <c r="A31" s="342"/>
      <c r="B31" s="276" t="s">
        <v>124</v>
      </c>
      <c r="C31" s="277" t="s">
        <v>163</v>
      </c>
      <c r="D31" s="282">
        <f>(D86)/D$90</f>
        <v>-1.4013620437255838E-2</v>
      </c>
      <c r="E31" s="283">
        <f t="shared" ref="E31:H31" si="5">(E86)/E$90</f>
        <v>-4.8915723273242348E-3</v>
      </c>
      <c r="F31" s="283">
        <f t="shared" si="5"/>
        <v>-1.5320436267908177E-3</v>
      </c>
      <c r="G31" s="283">
        <f t="shared" si="5"/>
        <v>-1.605515402447138E-3</v>
      </c>
      <c r="H31" s="283">
        <f t="shared" si="5"/>
        <v>-1.422565423648163E-3</v>
      </c>
      <c r="I31" s="194"/>
      <c r="J31" s="317">
        <f>AVERAGE(D86:INDEX(D86:H86,0,MATCH(Data!$B$3,$D$7:$H$7,0)))/AVERAGE($D$90:INDEX($D$90:$H$90,0,MATCH(Data!$B$3,$D$7:$H$7,0)))</f>
        <v>-1.4013620437255838E-2</v>
      </c>
      <c r="K31" s="285">
        <f>AVERAGE(D86:H86)/AVERAGE($D$90:$H$90)</f>
        <v>-4.4634837398688527E-3</v>
      </c>
      <c r="L31" s="504"/>
      <c r="M31" s="505"/>
      <c r="N31" s="256"/>
      <c r="O31" s="256"/>
      <c r="P31" s="256"/>
      <c r="Q31" s="256"/>
      <c r="R31" s="256"/>
      <c r="S31" s="256"/>
      <c r="T31" s="256"/>
      <c r="U31" s="256"/>
      <c r="V31" s="256"/>
      <c r="W31" s="256"/>
    </row>
    <row r="32" spans="1:23">
      <c r="A32" s="342"/>
      <c r="B32" s="279" t="s">
        <v>125</v>
      </c>
      <c r="C32" s="281" t="s">
        <v>163</v>
      </c>
      <c r="D32" s="151">
        <f>SUM(D29:D31)</f>
        <v>0.13317850031254302</v>
      </c>
      <c r="E32" s="325">
        <f t="shared" ref="E32:H32" si="6">SUM(E29:E31)</f>
        <v>7.4316008506194686E-2</v>
      </c>
      <c r="F32" s="325">
        <f t="shared" si="6"/>
        <v>6.1075544339458297E-2</v>
      </c>
      <c r="G32" s="325">
        <f t="shared" si="6"/>
        <v>7.3109241487752899E-2</v>
      </c>
      <c r="H32" s="325">
        <f t="shared" si="6"/>
        <v>7.815838557524854E-2</v>
      </c>
      <c r="I32" s="287"/>
      <c r="J32" s="323">
        <f>SUM(J29:J31)</f>
        <v>0.13317850031254302</v>
      </c>
      <c r="K32" s="323">
        <f>SUM(K29:K31)</f>
        <v>8.3112898224667497E-2</v>
      </c>
      <c r="L32" s="514"/>
      <c r="M32" s="505"/>
      <c r="N32" s="256"/>
      <c r="O32" s="256"/>
      <c r="P32" s="256"/>
      <c r="Q32" s="256"/>
      <c r="R32" s="256"/>
      <c r="S32" s="256"/>
      <c r="T32" s="256"/>
      <c r="U32" s="256"/>
      <c r="V32" s="256"/>
      <c r="W32" s="256"/>
    </row>
    <row r="33" spans="1:23">
      <c r="A33" s="342"/>
      <c r="B33" s="265"/>
      <c r="C33" s="256"/>
      <c r="D33" s="278"/>
      <c r="E33" s="278"/>
      <c r="F33" s="278"/>
      <c r="G33" s="278"/>
      <c r="H33" s="278"/>
      <c r="I33" s="278"/>
      <c r="J33" s="278"/>
      <c r="K33" s="278"/>
      <c r="L33" s="505"/>
      <c r="M33" s="505"/>
      <c r="N33" s="256"/>
      <c r="O33" s="256"/>
      <c r="P33" s="256"/>
      <c r="Q33" s="256"/>
      <c r="R33" s="256"/>
      <c r="S33" s="256"/>
      <c r="T33" s="256"/>
      <c r="U33" s="256"/>
      <c r="V33" s="256"/>
      <c r="W33" s="256"/>
    </row>
    <row r="34" spans="1:23">
      <c r="A34" s="342"/>
      <c r="B34" s="265"/>
      <c r="C34" s="256"/>
      <c r="D34" s="278"/>
      <c r="E34" s="278"/>
      <c r="F34" s="278"/>
      <c r="G34" s="278"/>
      <c r="H34" s="278"/>
      <c r="I34" s="518"/>
      <c r="J34" s="518"/>
      <c r="K34" s="278"/>
      <c r="L34" s="505"/>
      <c r="M34" s="505"/>
      <c r="N34" s="256"/>
      <c r="O34" s="256"/>
      <c r="P34" s="256"/>
      <c r="Q34" s="256"/>
      <c r="R34" s="256"/>
      <c r="S34" s="256"/>
      <c r="T34" s="256"/>
      <c r="U34" s="256"/>
      <c r="V34" s="256"/>
      <c r="W34" s="256"/>
    </row>
    <row r="35" spans="1:23">
      <c r="A35" s="342"/>
      <c r="B35" s="265"/>
      <c r="C35" s="256"/>
      <c r="D35" s="278"/>
      <c r="E35" s="278"/>
      <c r="F35" s="278"/>
      <c r="G35" s="278"/>
      <c r="H35" s="278"/>
      <c r="I35" s="518"/>
      <c r="J35" s="518"/>
      <c r="K35" s="278"/>
      <c r="L35" s="505"/>
      <c r="M35" s="505"/>
      <c r="N35" s="256"/>
      <c r="O35" s="256"/>
      <c r="P35" s="256"/>
      <c r="Q35" s="256"/>
      <c r="R35" s="256"/>
      <c r="S35" s="256"/>
      <c r="T35" s="256"/>
      <c r="U35" s="256"/>
      <c r="V35" s="256"/>
      <c r="W35" s="256"/>
    </row>
    <row r="36" spans="1:23">
      <c r="A36" s="342"/>
      <c r="B36" s="273" t="s">
        <v>57</v>
      </c>
      <c r="C36" s="274"/>
      <c r="D36" s="320"/>
      <c r="E36" s="320"/>
      <c r="F36" s="320"/>
      <c r="G36" s="320"/>
      <c r="H36" s="320"/>
      <c r="I36" s="519"/>
      <c r="J36" s="519"/>
      <c r="K36" s="320"/>
      <c r="L36" s="513"/>
      <c r="M36" s="513"/>
      <c r="N36" s="256"/>
      <c r="O36" s="256"/>
      <c r="P36" s="256"/>
      <c r="Q36" s="256"/>
      <c r="R36" s="256"/>
      <c r="S36" s="256"/>
      <c r="T36" s="256"/>
      <c r="U36" s="256"/>
      <c r="V36" s="256"/>
      <c r="W36" s="256"/>
    </row>
    <row r="37" spans="1:23">
      <c r="A37" s="342"/>
      <c r="B37" s="275"/>
      <c r="C37" s="256"/>
      <c r="D37" s="278"/>
      <c r="E37" s="278"/>
      <c r="F37" s="278"/>
      <c r="G37" s="278"/>
      <c r="H37" s="278"/>
      <c r="I37" s="515"/>
      <c r="J37" s="515"/>
      <c r="K37" s="278"/>
      <c r="L37" s="505"/>
      <c r="M37" s="505"/>
      <c r="N37" s="256"/>
      <c r="O37" s="256"/>
      <c r="P37" s="256"/>
      <c r="Q37" s="256"/>
      <c r="R37" s="256"/>
      <c r="S37" s="256"/>
      <c r="T37" s="256"/>
      <c r="U37" s="256"/>
      <c r="V37" s="256"/>
      <c r="W37" s="256"/>
    </row>
    <row r="38" spans="1:23">
      <c r="A38" s="342"/>
      <c r="B38" s="276" t="s">
        <v>107</v>
      </c>
      <c r="C38" s="277" t="s">
        <v>163</v>
      </c>
      <c r="D38" s="282">
        <f t="shared" ref="D38:H53" si="7">D65/D$91</f>
        <v>4.1285253003717812E-2</v>
      </c>
      <c r="E38" s="283">
        <f t="shared" si="7"/>
        <v>4.6588632318152239E-2</v>
      </c>
      <c r="F38" s="283">
        <f t="shared" si="7"/>
        <v>4.8485603861083013E-2</v>
      </c>
      <c r="G38" s="283">
        <f t="shared" si="7"/>
        <v>5.448911006554967E-2</v>
      </c>
      <c r="H38" s="283">
        <f t="shared" si="7"/>
        <v>5.5382736088740239E-2</v>
      </c>
      <c r="I38" s="194"/>
      <c r="J38" s="284">
        <f>AVERAGE(D65:INDEX(D65:H65,0,MATCH(Data!$B$3,$D$7:$H$7,0)))/AVERAGE($D$91:INDEX($D$91:$H$91,0,MATCH(Data!$B$3,$D$7:$H$7,0)))</f>
        <v>4.1285253003717812E-2</v>
      </c>
      <c r="K38" s="285">
        <f t="shared" ref="K38:K55" si="8">AVERAGE(D65:H65)/AVERAGE($D$91:$H$91)</f>
        <v>4.9060115330929535E-2</v>
      </c>
      <c r="L38" s="504"/>
      <c r="M38" s="505"/>
      <c r="N38" s="256"/>
      <c r="O38" s="256"/>
      <c r="P38" s="256"/>
      <c r="Q38" s="256"/>
      <c r="R38" s="256"/>
      <c r="S38" s="256"/>
      <c r="T38" s="256"/>
      <c r="U38" s="256"/>
      <c r="V38" s="256"/>
      <c r="W38" s="256"/>
    </row>
    <row r="39" spans="1:23">
      <c r="A39" s="342"/>
      <c r="B39" s="276" t="s">
        <v>108</v>
      </c>
      <c r="C39" s="277" t="s">
        <v>163</v>
      </c>
      <c r="D39" s="282">
        <f t="shared" si="7"/>
        <v>-8.458330453889067E-3</v>
      </c>
      <c r="E39" s="283">
        <f t="shared" si="7"/>
        <v>-8.5768422352997305E-3</v>
      </c>
      <c r="F39" s="283">
        <f t="shared" si="7"/>
        <v>-1.1165701924308212E-3</v>
      </c>
      <c r="G39" s="283">
        <f t="shared" si="7"/>
        <v>7.8426007487104894E-3</v>
      </c>
      <c r="H39" s="283">
        <f t="shared" si="7"/>
        <v>1.1681395941053706E-2</v>
      </c>
      <c r="I39" s="194"/>
      <c r="J39" s="284">
        <f>AVERAGE(D66:INDEX(D66:H66,0,MATCH(Data!$B$3,$D$7:$H$7,0)))/AVERAGE($D$91:INDEX($D$91:$H$91,0,MATCH(Data!$B$3,$D$7:$H$7,0)))</f>
        <v>-8.458330453889067E-3</v>
      </c>
      <c r="K39" s="285">
        <f t="shared" si="8"/>
        <v>1.0779336518655864E-6</v>
      </c>
      <c r="L39" s="504"/>
      <c r="M39" s="505"/>
      <c r="N39" s="256"/>
      <c r="O39" s="256"/>
      <c r="P39" s="256"/>
      <c r="Q39" s="256"/>
      <c r="R39" s="256"/>
      <c r="S39" s="256"/>
      <c r="T39" s="256"/>
      <c r="U39" s="256"/>
      <c r="V39" s="256"/>
      <c r="W39" s="256"/>
    </row>
    <row r="40" spans="1:23">
      <c r="A40" s="342" t="s">
        <v>212</v>
      </c>
      <c r="B40" s="276" t="s">
        <v>109</v>
      </c>
      <c r="C40" s="277" t="s">
        <v>163</v>
      </c>
      <c r="D40" s="282">
        <f t="shared" si="7"/>
        <v>0</v>
      </c>
      <c r="E40" s="283">
        <f t="shared" si="7"/>
        <v>0</v>
      </c>
      <c r="F40" s="283">
        <f t="shared" si="7"/>
        <v>0</v>
      </c>
      <c r="G40" s="283">
        <f t="shared" si="7"/>
        <v>0</v>
      </c>
      <c r="H40" s="283">
        <f t="shared" si="7"/>
        <v>0</v>
      </c>
      <c r="I40" s="194"/>
      <c r="J40" s="284">
        <f>AVERAGE(D67:INDEX(D67:H67,0,MATCH(Data!$B$3,$D$7:$H$7,0)))/AVERAGE($D$91:INDEX($D$91:$H$91,0,MATCH(Data!$B$3,$D$7:$H$7,0)))</f>
        <v>0</v>
      </c>
      <c r="K40" s="285">
        <f t="shared" si="8"/>
        <v>0</v>
      </c>
      <c r="L40" s="504"/>
      <c r="M40" s="505"/>
      <c r="N40" s="256"/>
      <c r="O40" s="256"/>
      <c r="P40" s="256"/>
      <c r="Q40" s="256"/>
      <c r="R40" s="256"/>
      <c r="S40" s="256"/>
      <c r="T40" s="256"/>
      <c r="U40" s="256"/>
      <c r="V40" s="256"/>
      <c r="W40" s="256"/>
    </row>
    <row r="41" spans="1:23">
      <c r="A41" s="342" t="s">
        <v>213</v>
      </c>
      <c r="B41" s="276" t="s">
        <v>110</v>
      </c>
      <c r="C41" s="277" t="s">
        <v>163</v>
      </c>
      <c r="D41" s="282">
        <f t="shared" si="7"/>
        <v>-1.1380995930716815E-4</v>
      </c>
      <c r="E41" s="283">
        <f t="shared" si="7"/>
        <v>-5.7279532046993788E-5</v>
      </c>
      <c r="F41" s="283">
        <f t="shared" si="7"/>
        <v>-5.7792468286655823E-5</v>
      </c>
      <c r="G41" s="283">
        <f t="shared" si="7"/>
        <v>-6.1924538694394687E-5</v>
      </c>
      <c r="H41" s="283">
        <f t="shared" si="7"/>
        <v>-5.9944202092453856E-5</v>
      </c>
      <c r="I41" s="194"/>
      <c r="J41" s="284">
        <f>AVERAGE(D68:INDEX(D68:H68,0,MATCH(Data!$B$3,$D$7:$H$7,0)))/AVERAGE($D$91:INDEX($D$91:$H$91,0,MATCH(Data!$B$3,$D$7:$H$7,0)))</f>
        <v>-1.1380995930716815E-4</v>
      </c>
      <c r="K41" s="285">
        <f t="shared" si="8"/>
        <v>-7.0674375742631936E-5</v>
      </c>
      <c r="L41" s="504"/>
      <c r="M41" s="505"/>
      <c r="N41" s="256"/>
      <c r="O41" s="256"/>
      <c r="P41" s="256"/>
      <c r="Q41" s="256"/>
      <c r="R41" s="256"/>
      <c r="S41" s="256"/>
      <c r="T41" s="256"/>
      <c r="U41" s="256"/>
      <c r="V41" s="256"/>
      <c r="W41" s="256"/>
    </row>
    <row r="42" spans="1:23">
      <c r="A42" s="342" t="s">
        <v>214</v>
      </c>
      <c r="B42" s="276" t="s">
        <v>111</v>
      </c>
      <c r="C42" s="277" t="s">
        <v>163</v>
      </c>
      <c r="D42" s="282">
        <f t="shared" si="7"/>
        <v>-1.5730457107639853E-3</v>
      </c>
      <c r="E42" s="283">
        <f t="shared" si="7"/>
        <v>6.4719776912815989E-4</v>
      </c>
      <c r="F42" s="283">
        <f t="shared" si="7"/>
        <v>6.5299340289384593E-4</v>
      </c>
      <c r="G42" s="283">
        <f t="shared" si="7"/>
        <v>6.9968140215290132E-4</v>
      </c>
      <c r="H42" s="283">
        <f t="shared" si="7"/>
        <v>6.7730570554547383E-4</v>
      </c>
      <c r="I42" s="194"/>
      <c r="J42" s="284">
        <f>AVERAGE(D69:INDEX(D69:H69,0,MATCH(Data!$B$3,$D$7:$H$7,0)))/AVERAGE($D$91:INDEX($D$91:$H$91,0,MATCH(Data!$B$3,$D$7:$H$7,0)))</f>
        <v>-1.5730457107639853E-3</v>
      </c>
      <c r="K42" s="285">
        <f t="shared" si="8"/>
        <v>1.9693189049538955E-4</v>
      </c>
      <c r="L42" s="504"/>
      <c r="M42" s="505"/>
      <c r="N42" s="256"/>
      <c r="O42" s="256"/>
      <c r="P42" s="256"/>
      <c r="Q42" s="256"/>
      <c r="R42" s="256"/>
      <c r="S42" s="256"/>
      <c r="T42" s="256"/>
      <c r="U42" s="256"/>
      <c r="V42" s="256"/>
      <c r="W42" s="256"/>
    </row>
    <row r="43" spans="1:23">
      <c r="A43" s="342" t="s">
        <v>215</v>
      </c>
      <c r="B43" s="276" t="s">
        <v>112</v>
      </c>
      <c r="C43" s="277" t="s">
        <v>163</v>
      </c>
      <c r="D43" s="282">
        <f t="shared" si="7"/>
        <v>-5.5059569721271785E-3</v>
      </c>
      <c r="E43" s="283">
        <f t="shared" si="7"/>
        <v>-1.6429316325943485E-3</v>
      </c>
      <c r="F43" s="283">
        <f t="shared" si="7"/>
        <v>2.8110450078180465E-4</v>
      </c>
      <c r="G43" s="283">
        <f t="shared" si="7"/>
        <v>1.2810006723687245E-3</v>
      </c>
      <c r="H43" s="283">
        <f t="shared" si="7"/>
        <v>2.3331070267225153E-3</v>
      </c>
      <c r="I43" s="194"/>
      <c r="J43" s="284">
        <f>AVERAGE(D70:INDEX(D70:H70,0,MATCH(Data!$B$3,$D$7:$H$7,0)))/AVERAGE($D$91:INDEX($D$91:$H$91,0,MATCH(Data!$B$3,$D$7:$H$7,0)))</f>
        <v>-5.5059569721271785E-3</v>
      </c>
      <c r="K43" s="285">
        <f t="shared" si="8"/>
        <v>-7.4055096586307071E-4</v>
      </c>
      <c r="L43" s="504"/>
      <c r="M43" s="505"/>
      <c r="N43" s="256"/>
      <c r="O43" s="256"/>
      <c r="P43" s="256"/>
      <c r="Q43" s="256"/>
      <c r="R43" s="256"/>
      <c r="S43" s="256"/>
      <c r="T43" s="256"/>
      <c r="U43" s="256"/>
      <c r="V43" s="256"/>
      <c r="W43" s="256"/>
    </row>
    <row r="44" spans="1:23">
      <c r="A44" s="342" t="s">
        <v>216</v>
      </c>
      <c r="B44" s="276" t="s">
        <v>113</v>
      </c>
      <c r="C44" s="277" t="s">
        <v>163</v>
      </c>
      <c r="D44" s="282">
        <f t="shared" si="7"/>
        <v>0</v>
      </c>
      <c r="E44" s="283">
        <f t="shared" si="7"/>
        <v>0</v>
      </c>
      <c r="F44" s="283">
        <f t="shared" si="7"/>
        <v>0</v>
      </c>
      <c r="G44" s="283">
        <f t="shared" si="7"/>
        <v>0</v>
      </c>
      <c r="H44" s="283">
        <f t="shared" si="7"/>
        <v>0</v>
      </c>
      <c r="I44" s="194"/>
      <c r="J44" s="284">
        <f>AVERAGE(D71:INDEX(D71:H71,0,MATCH(Data!$B$3,$D$7:$H$7,0)))/AVERAGE($D$91:INDEX($D$91:$H$91,0,MATCH(Data!$B$3,$D$7:$H$7,0)))</f>
        <v>0</v>
      </c>
      <c r="K44" s="285">
        <f t="shared" si="8"/>
        <v>0</v>
      </c>
      <c r="L44" s="504"/>
      <c r="M44" s="505"/>
      <c r="N44" s="256"/>
      <c r="O44" s="256"/>
      <c r="P44" s="256"/>
      <c r="Q44" s="256"/>
      <c r="R44" s="256"/>
      <c r="S44" s="256"/>
      <c r="T44" s="256"/>
      <c r="U44" s="256"/>
      <c r="V44" s="256"/>
      <c r="W44" s="256"/>
    </row>
    <row r="45" spans="1:23">
      <c r="A45" s="342" t="s">
        <v>217</v>
      </c>
      <c r="B45" s="276" t="s">
        <v>114</v>
      </c>
      <c r="C45" s="277" t="s">
        <v>163</v>
      </c>
      <c r="D45" s="282">
        <f t="shared" si="7"/>
        <v>0</v>
      </c>
      <c r="E45" s="283">
        <f t="shared" si="7"/>
        <v>0</v>
      </c>
      <c r="F45" s="283">
        <f t="shared" si="7"/>
        <v>0</v>
      </c>
      <c r="G45" s="283">
        <f t="shared" si="7"/>
        <v>0</v>
      </c>
      <c r="H45" s="283">
        <f t="shared" si="7"/>
        <v>0</v>
      </c>
      <c r="I45" s="194"/>
      <c r="J45" s="284">
        <f>AVERAGE(D72:INDEX(D72:H72,0,MATCH(Data!$B$3,$D$7:$H$7,0)))/AVERAGE($D$91:INDEX($D$91:$H$91,0,MATCH(Data!$B$3,$D$7:$H$7,0)))</f>
        <v>0</v>
      </c>
      <c r="K45" s="285">
        <f t="shared" si="8"/>
        <v>0</v>
      </c>
      <c r="L45" s="504"/>
      <c r="M45" s="505"/>
      <c r="N45" s="256"/>
      <c r="O45" s="256"/>
      <c r="P45" s="256"/>
      <c r="Q45" s="256"/>
      <c r="R45" s="256"/>
      <c r="S45" s="256"/>
      <c r="T45" s="256"/>
      <c r="U45" s="256"/>
      <c r="V45" s="256"/>
      <c r="W45" s="256"/>
    </row>
    <row r="46" spans="1:23">
      <c r="A46" s="342" t="s">
        <v>218</v>
      </c>
      <c r="B46" s="276" t="s">
        <v>115</v>
      </c>
      <c r="C46" s="277" t="s">
        <v>163</v>
      </c>
      <c r="D46" s="282">
        <f t="shared" si="7"/>
        <v>4.0366726354936053E-4</v>
      </c>
      <c r="E46" s="283">
        <f t="shared" si="7"/>
        <v>0</v>
      </c>
      <c r="F46" s="283">
        <f t="shared" si="7"/>
        <v>0</v>
      </c>
      <c r="G46" s="283">
        <f t="shared" si="7"/>
        <v>0</v>
      </c>
      <c r="H46" s="283">
        <f t="shared" si="7"/>
        <v>0</v>
      </c>
      <c r="I46" s="194"/>
      <c r="J46" s="284">
        <f>AVERAGE(D73:INDEX(D73:H73,0,MATCH(Data!$B$3,$D$7:$H$7,0)))/AVERAGE($D$91:INDEX($D$91:$H$91,0,MATCH(Data!$B$3,$D$7:$H$7,0)))</f>
        <v>4.0366726354936053E-4</v>
      </c>
      <c r="K46" s="285">
        <f t="shared" si="8"/>
        <v>8.4943532365268747E-5</v>
      </c>
      <c r="L46" s="504"/>
      <c r="M46" s="505"/>
      <c r="N46" s="256"/>
      <c r="O46" s="256"/>
      <c r="P46" s="256"/>
      <c r="Q46" s="256"/>
      <c r="R46" s="256"/>
      <c r="S46" s="256"/>
      <c r="T46" s="256"/>
      <c r="U46" s="256"/>
      <c r="V46" s="256"/>
      <c r="W46" s="256"/>
    </row>
    <row r="47" spans="1:23">
      <c r="A47" s="342" t="s">
        <v>219</v>
      </c>
      <c r="B47" s="276" t="s">
        <v>118</v>
      </c>
      <c r="C47" s="277" t="s">
        <v>163</v>
      </c>
      <c r="D47" s="282">
        <f t="shared" si="7"/>
        <v>-9.5629501503940686E-5</v>
      </c>
      <c r="E47" s="283">
        <f t="shared" si="7"/>
        <v>-1.342072180350518E-4</v>
      </c>
      <c r="F47" s="283">
        <f t="shared" si="7"/>
        <v>-1.1117326687785417E-4</v>
      </c>
      <c r="G47" s="283">
        <f t="shared" si="7"/>
        <v>-8.4500320974332434E-5</v>
      </c>
      <c r="H47" s="283">
        <f t="shared" si="7"/>
        <v>-6.6291150838268897E-5</v>
      </c>
      <c r="I47" s="194"/>
      <c r="J47" s="284">
        <f>AVERAGE(D74:INDEX(D74:H74,0,MATCH(Data!$B$3,$D$7:$H$7,0)))/AVERAGE($D$91:INDEX($D$91:$H$91,0,MATCH(Data!$B$3,$D$7:$H$7,0)))</f>
        <v>-9.5629501503940686E-5</v>
      </c>
      <c r="K47" s="285">
        <f t="shared" si="8"/>
        <v>-9.8822109410941336E-5</v>
      </c>
      <c r="L47" s="504"/>
      <c r="M47" s="505"/>
      <c r="N47" s="256"/>
      <c r="O47" s="256"/>
      <c r="P47" s="256"/>
      <c r="Q47" s="256"/>
      <c r="R47" s="256"/>
      <c r="S47" s="256"/>
      <c r="T47" s="256"/>
      <c r="U47" s="256"/>
      <c r="V47" s="256"/>
      <c r="W47" s="256"/>
    </row>
    <row r="48" spans="1:23">
      <c r="A48" s="342" t="s">
        <v>220</v>
      </c>
      <c r="B48" s="276" t="s">
        <v>119</v>
      </c>
      <c r="C48" s="277" t="s">
        <v>163</v>
      </c>
      <c r="D48" s="282">
        <f t="shared" si="7"/>
        <v>-5.9083536208836044E-5</v>
      </c>
      <c r="E48" s="283">
        <f t="shared" si="7"/>
        <v>0</v>
      </c>
      <c r="F48" s="283">
        <f t="shared" si="7"/>
        <v>0</v>
      </c>
      <c r="G48" s="283">
        <f t="shared" si="7"/>
        <v>0</v>
      </c>
      <c r="H48" s="283">
        <f t="shared" si="7"/>
        <v>0</v>
      </c>
      <c r="I48" s="194"/>
      <c r="J48" s="284">
        <f>AVERAGE(D75:INDEX(D75:H75,0,MATCH(Data!$B$3,$D$7:$H$7,0)))/AVERAGE($D$91:INDEX($D$91:$H$91,0,MATCH(Data!$B$3,$D$7:$H$7,0)))</f>
        <v>-5.9083536208836044E-5</v>
      </c>
      <c r="K48" s="285">
        <f t="shared" si="8"/>
        <v>-1.2432923656183719E-5</v>
      </c>
      <c r="L48" s="504"/>
      <c r="M48" s="505"/>
      <c r="N48" s="256"/>
      <c r="O48" s="256"/>
      <c r="P48" s="256"/>
      <c r="Q48" s="256"/>
      <c r="R48" s="256"/>
      <c r="S48" s="256"/>
      <c r="T48" s="256"/>
      <c r="U48" s="256"/>
      <c r="V48" s="256"/>
      <c r="W48" s="256"/>
    </row>
    <row r="49" spans="1:23">
      <c r="A49" s="342" t="s">
        <v>221</v>
      </c>
      <c r="B49" s="276" t="s">
        <v>120</v>
      </c>
      <c r="C49" s="277" t="s">
        <v>163</v>
      </c>
      <c r="D49" s="282">
        <f t="shared" si="7"/>
        <v>-5.6132591759616939E-5</v>
      </c>
      <c r="E49" s="283">
        <f t="shared" si="7"/>
        <v>-2.79422383943695E-5</v>
      </c>
      <c r="F49" s="283">
        <f t="shared" si="7"/>
        <v>-8.8475061476118639E-5</v>
      </c>
      <c r="G49" s="283">
        <f t="shared" si="7"/>
        <v>-3.8433642599650503E-5</v>
      </c>
      <c r="H49" s="283">
        <f t="shared" si="7"/>
        <v>-1.7366123735869132E-5</v>
      </c>
      <c r="I49" s="194"/>
      <c r="J49" s="284">
        <f>AVERAGE(D76:INDEX(D76:H76,0,MATCH(Data!$B$3,$D$7:$H$7,0)))/AVERAGE($D$91:INDEX($D$91:$H$91,0,MATCH(Data!$B$3,$D$7:$H$7,0)))</f>
        <v>-5.6132591759616939E-5</v>
      </c>
      <c r="K49" s="285">
        <f t="shared" si="8"/>
        <v>-4.6027678277796103E-5</v>
      </c>
      <c r="L49" s="504"/>
      <c r="M49" s="505"/>
      <c r="N49" s="256"/>
      <c r="O49" s="256"/>
      <c r="P49" s="256"/>
      <c r="Q49" s="256"/>
      <c r="R49" s="256"/>
      <c r="S49" s="256"/>
      <c r="T49" s="256"/>
      <c r="U49" s="256"/>
      <c r="V49" s="256"/>
      <c r="W49" s="256"/>
    </row>
    <row r="50" spans="1:23">
      <c r="A50" s="342" t="s">
        <v>222</v>
      </c>
      <c r="B50" s="276">
        <v>0</v>
      </c>
      <c r="C50" s="277" t="s">
        <v>163</v>
      </c>
      <c r="D50" s="282">
        <f t="shared" si="7"/>
        <v>0</v>
      </c>
      <c r="E50" s="283">
        <f t="shared" si="7"/>
        <v>0</v>
      </c>
      <c r="F50" s="283">
        <f t="shared" si="7"/>
        <v>0</v>
      </c>
      <c r="G50" s="283">
        <f t="shared" si="7"/>
        <v>0</v>
      </c>
      <c r="H50" s="283">
        <f t="shared" si="7"/>
        <v>0</v>
      </c>
      <c r="I50" s="194"/>
      <c r="J50" s="284">
        <f>AVERAGE(D77:INDEX(D77:H77,0,MATCH(Data!$B$3,$D$7:$H$7,0)))/AVERAGE($D$91:INDEX($D$91:$H$91,0,MATCH(Data!$B$3,$D$7:$H$7,0)))</f>
        <v>0</v>
      </c>
      <c r="K50" s="285">
        <f t="shared" si="8"/>
        <v>0</v>
      </c>
      <c r="L50" s="504"/>
      <c r="M50" s="505"/>
      <c r="N50" s="256"/>
      <c r="O50" s="256"/>
      <c r="P50" s="256"/>
      <c r="Q50" s="256"/>
      <c r="R50" s="256"/>
      <c r="S50" s="256"/>
      <c r="T50" s="256"/>
      <c r="U50" s="256"/>
      <c r="V50" s="256"/>
      <c r="W50" s="256"/>
    </row>
    <row r="51" spans="1:23">
      <c r="A51" s="342" t="s">
        <v>223</v>
      </c>
      <c r="B51" s="276">
        <v>0</v>
      </c>
      <c r="C51" s="277" t="s">
        <v>163</v>
      </c>
      <c r="D51" s="282">
        <f t="shared" si="7"/>
        <v>0</v>
      </c>
      <c r="E51" s="283">
        <f t="shared" si="7"/>
        <v>0</v>
      </c>
      <c r="F51" s="283">
        <f t="shared" si="7"/>
        <v>0</v>
      </c>
      <c r="G51" s="283">
        <f t="shared" si="7"/>
        <v>0</v>
      </c>
      <c r="H51" s="283">
        <f t="shared" si="7"/>
        <v>0</v>
      </c>
      <c r="I51" s="194"/>
      <c r="J51" s="284">
        <f>AVERAGE(D78:INDEX(D78:H78,0,MATCH(Data!$B$3,$D$7:$H$7,0)))/AVERAGE($D$91:INDEX($D$91:$H$91,0,MATCH(Data!$B$3,$D$7:$H$7,0)))</f>
        <v>0</v>
      </c>
      <c r="K51" s="285">
        <f t="shared" si="8"/>
        <v>0</v>
      </c>
      <c r="L51" s="504"/>
      <c r="M51" s="505"/>
      <c r="N51" s="256"/>
      <c r="O51" s="256"/>
      <c r="P51" s="256"/>
      <c r="Q51" s="256"/>
      <c r="R51" s="256"/>
      <c r="S51" s="256"/>
      <c r="T51" s="256"/>
      <c r="U51" s="256"/>
      <c r="V51" s="256"/>
      <c r="W51" s="256"/>
    </row>
    <row r="52" spans="1:23">
      <c r="A52" s="342" t="s">
        <v>224</v>
      </c>
      <c r="B52" s="276">
        <v>0</v>
      </c>
      <c r="C52" s="277" t="s">
        <v>163</v>
      </c>
      <c r="D52" s="282">
        <f t="shared" si="7"/>
        <v>0</v>
      </c>
      <c r="E52" s="283">
        <f t="shared" si="7"/>
        <v>0</v>
      </c>
      <c r="F52" s="283">
        <f t="shared" si="7"/>
        <v>0</v>
      </c>
      <c r="G52" s="283">
        <f t="shared" si="7"/>
        <v>0</v>
      </c>
      <c r="H52" s="283">
        <f t="shared" si="7"/>
        <v>0</v>
      </c>
      <c r="I52" s="194"/>
      <c r="J52" s="284">
        <f>AVERAGE(D79:INDEX(D79:H79,0,MATCH(Data!$B$3,$D$7:$H$7,0)))/AVERAGE($D$91:INDEX($D$91:$H$91,0,MATCH(Data!$B$3,$D$7:$H$7,0)))</f>
        <v>0</v>
      </c>
      <c r="K52" s="285">
        <f t="shared" si="8"/>
        <v>0</v>
      </c>
      <c r="L52" s="504"/>
      <c r="M52" s="505"/>
      <c r="N52" s="256"/>
      <c r="O52" s="256"/>
      <c r="P52" s="256"/>
      <c r="Q52" s="256"/>
      <c r="R52" s="256"/>
      <c r="S52" s="256"/>
      <c r="T52" s="256"/>
      <c r="U52" s="256"/>
      <c r="V52" s="256"/>
      <c r="W52" s="256"/>
    </row>
    <row r="53" spans="1:23">
      <c r="A53" s="342" t="s">
        <v>225</v>
      </c>
      <c r="B53" s="276">
        <v>0</v>
      </c>
      <c r="C53" s="277" t="s">
        <v>163</v>
      </c>
      <c r="D53" s="282">
        <f t="shared" si="7"/>
        <v>0</v>
      </c>
      <c r="E53" s="283">
        <f t="shared" si="7"/>
        <v>0</v>
      </c>
      <c r="F53" s="283">
        <f t="shared" si="7"/>
        <v>0</v>
      </c>
      <c r="G53" s="283">
        <f t="shared" si="7"/>
        <v>0</v>
      </c>
      <c r="H53" s="283">
        <f t="shared" si="7"/>
        <v>0</v>
      </c>
      <c r="I53" s="194"/>
      <c r="J53" s="284">
        <f>AVERAGE(D80:INDEX(D80:H80,0,MATCH(Data!$B$3,$D$7:$H$7,0)))/AVERAGE($D$91:INDEX($D$91:$H$91,0,MATCH(Data!$B$3,$D$7:$H$7,0)))</f>
        <v>0</v>
      </c>
      <c r="K53" s="285">
        <f t="shared" si="8"/>
        <v>0</v>
      </c>
      <c r="L53" s="504"/>
      <c r="M53" s="505"/>
      <c r="N53" s="256"/>
      <c r="O53" s="256"/>
      <c r="P53" s="256"/>
      <c r="Q53" s="256"/>
      <c r="R53" s="256"/>
      <c r="S53" s="256"/>
      <c r="T53" s="256"/>
      <c r="U53" s="256"/>
      <c r="V53" s="256"/>
      <c r="W53" s="256"/>
    </row>
    <row r="54" spans="1:23">
      <c r="A54" s="342" t="s">
        <v>226</v>
      </c>
      <c r="B54" s="276">
        <v>0</v>
      </c>
      <c r="C54" s="277" t="s">
        <v>163</v>
      </c>
      <c r="D54" s="282">
        <f t="shared" ref="D54:H55" si="9">D81/D$91</f>
        <v>0</v>
      </c>
      <c r="E54" s="283">
        <f t="shared" si="9"/>
        <v>0</v>
      </c>
      <c r="F54" s="283">
        <f t="shared" si="9"/>
        <v>0</v>
      </c>
      <c r="G54" s="283">
        <f t="shared" si="9"/>
        <v>0</v>
      </c>
      <c r="H54" s="283">
        <f t="shared" si="9"/>
        <v>0</v>
      </c>
      <c r="I54" s="194"/>
      <c r="J54" s="284">
        <f>AVERAGE(D81:INDEX(D81:H81,0,MATCH(Data!$B$3,$D$7:$H$7,0)))/AVERAGE($D$91:INDEX($D$91:$H$91,0,MATCH(Data!$B$3,$D$7:$H$7,0)))</f>
        <v>0</v>
      </c>
      <c r="K54" s="285">
        <f t="shared" si="8"/>
        <v>0</v>
      </c>
      <c r="L54" s="504"/>
      <c r="M54" s="505"/>
      <c r="N54" s="256"/>
      <c r="O54" s="256"/>
      <c r="P54" s="256"/>
      <c r="Q54" s="256"/>
      <c r="R54" s="256"/>
      <c r="S54" s="256"/>
      <c r="T54" s="256"/>
      <c r="U54" s="256"/>
      <c r="V54" s="256"/>
      <c r="W54" s="256"/>
    </row>
    <row r="55" spans="1:23">
      <c r="A55" s="342"/>
      <c r="B55" s="276" t="s">
        <v>121</v>
      </c>
      <c r="C55" s="277" t="s">
        <v>163</v>
      </c>
      <c r="D55" s="282">
        <f t="shared" si="9"/>
        <v>-8.5484738544947859E-4</v>
      </c>
      <c r="E55" s="283">
        <f t="shared" si="9"/>
        <v>-5.5814527043216409E-4</v>
      </c>
      <c r="F55" s="283">
        <f t="shared" si="9"/>
        <v>-5.544841809034482E-4</v>
      </c>
      <c r="G55" s="283">
        <f t="shared" si="9"/>
        <v>-3.5749247138032171E-4</v>
      </c>
      <c r="H55" s="283">
        <f t="shared" si="9"/>
        <v>-3.4457259142653786E-4</v>
      </c>
      <c r="I55" s="194"/>
      <c r="J55" s="284">
        <f>AVERAGE(D82:INDEX(D82:H82,0,MATCH(Data!$B$3,$D$7:$H$7,0)))/AVERAGE($D$91:INDEX($D$91:$H$91,0,MATCH(Data!$B$3,$D$7:$H$7,0)))</f>
        <v>-8.5484738544947859E-4</v>
      </c>
      <c r="K55" s="285">
        <f t="shared" si="8"/>
        <v>-5.403703539880165E-4</v>
      </c>
      <c r="L55" s="504"/>
      <c r="M55" s="505"/>
      <c r="N55" s="256"/>
      <c r="O55" s="256"/>
      <c r="P55" s="256"/>
      <c r="Q55" s="256"/>
      <c r="R55" s="256"/>
      <c r="S55" s="256"/>
      <c r="T55" s="256"/>
      <c r="U55" s="256"/>
      <c r="V55" s="256"/>
      <c r="W55" s="256"/>
    </row>
    <row r="56" spans="1:23">
      <c r="A56" s="342"/>
      <c r="B56" s="279" t="s">
        <v>122</v>
      </c>
      <c r="C56" s="281" t="s">
        <v>163</v>
      </c>
      <c r="D56" s="324">
        <f>SUM(D38:D55)</f>
        <v>2.4972084156257901E-2</v>
      </c>
      <c r="E56" s="324">
        <f t="shared" ref="E56:K56" si="10">SUM(E38:E55)</f>
        <v>3.6238481960477735E-2</v>
      </c>
      <c r="F56" s="324">
        <f t="shared" si="10"/>
        <v>4.7491206594783772E-2</v>
      </c>
      <c r="G56" s="324">
        <f t="shared" si="10"/>
        <v>6.377004191513308E-2</v>
      </c>
      <c r="H56" s="324">
        <f t="shared" si="10"/>
        <v>6.9586370693968794E-2</v>
      </c>
      <c r="I56" s="287"/>
      <c r="J56" s="324">
        <f t="shared" si="10"/>
        <v>2.4972084156257901E-2</v>
      </c>
      <c r="K56" s="324">
        <f t="shared" si="10"/>
        <v>4.7834190280503411E-2</v>
      </c>
      <c r="L56" s="514"/>
      <c r="M56" s="505"/>
      <c r="N56" s="256"/>
      <c r="O56" s="256"/>
      <c r="P56" s="256"/>
      <c r="Q56" s="256"/>
      <c r="R56" s="256"/>
      <c r="S56" s="256"/>
      <c r="T56" s="256"/>
      <c r="U56" s="256"/>
      <c r="V56" s="256"/>
      <c r="W56" s="256"/>
    </row>
    <row r="57" spans="1:23">
      <c r="A57" s="342"/>
      <c r="B57" s="276" t="s">
        <v>173</v>
      </c>
      <c r="C57" s="277" t="s">
        <v>163</v>
      </c>
      <c r="D57" s="282">
        <f>(D84+D85)/D$91</f>
        <v>8.0138661593293997E-2</v>
      </c>
      <c r="E57" s="283">
        <f t="shared" ref="E57:H57" si="11">(E84+E85)/E$91</f>
        <v>3.117463742506104E-2</v>
      </c>
      <c r="F57" s="283">
        <f t="shared" si="11"/>
        <v>1.0827560732806612E-2</v>
      </c>
      <c r="G57" s="283">
        <f t="shared" si="11"/>
        <v>1.0171857523752374E-2</v>
      </c>
      <c r="H57" s="283">
        <f t="shared" si="11"/>
        <v>9.9699036826129891E-3</v>
      </c>
      <c r="I57" s="194"/>
      <c r="J57" s="284">
        <f>(AVERAGE(D84:INDEX(D84:H84,0,MATCH(Data!$B$3,$D$7:$H$7,0)))+AVERAGE(D85:INDEX(D85:H85,0,MATCH(Data!$B$3,$D$7:$H$7,0))))/AVERAGE($D$91:INDEX($D$91:$H$91,0,MATCH(Data!$B$3,$D$7:$H$7,0)))</f>
        <v>8.0138661593293997E-2</v>
      </c>
      <c r="K57" s="285">
        <f>(AVERAGE(D84:H84)+AVERAGE(D85:H85))/AVERAGE($D$91:$H$91)</f>
        <v>2.9271341560353877E-2</v>
      </c>
      <c r="L57" s="504"/>
      <c r="M57" s="505"/>
      <c r="N57" s="256"/>
      <c r="O57" s="256"/>
      <c r="P57" s="256"/>
      <c r="Q57" s="256"/>
      <c r="R57" s="256"/>
      <c r="S57" s="256"/>
      <c r="T57" s="256"/>
      <c r="U57" s="256"/>
      <c r="V57" s="256"/>
      <c r="W57" s="256"/>
    </row>
    <row r="58" spans="1:23">
      <c r="A58" s="342"/>
      <c r="B58" s="276" t="s">
        <v>174</v>
      </c>
      <c r="C58" s="277" t="s">
        <v>163</v>
      </c>
      <c r="D58" s="282">
        <f>(D86+D87)/D$91</f>
        <v>-8.473599710924231E-3</v>
      </c>
      <c r="E58" s="283">
        <f t="shared" ref="E58:H58" si="12">(E86+E87)/E$91</f>
        <v>-4.4211392373461594E-3</v>
      </c>
      <c r="F58" s="283">
        <f t="shared" si="12"/>
        <v>-2.1718201751745937E-3</v>
      </c>
      <c r="G58" s="283">
        <f t="shared" si="12"/>
        <v>-1.6688143697817686E-3</v>
      </c>
      <c r="H58" s="283">
        <f t="shared" si="12"/>
        <v>-1.4518500106479213E-3</v>
      </c>
      <c r="I58" s="194"/>
      <c r="J58" s="284">
        <f>(AVERAGE(D86:INDEX(D86:H86,0,MATCH(Data!$B$3,$D$7:$H$7,0)))+AVERAGE(D87:INDEX(D87:H87,0,MATCH(Data!$B$3,$D$7:$H$7,0))))/AVERAGE($D$91:INDEX($D$91:$H$91,0,MATCH(Data!$B$3,$D$7:$H$7,0)))</f>
        <v>-8.473599710924231E-3</v>
      </c>
      <c r="K58" s="285">
        <f>(AVERAGE(D86:H86)+AVERAGE(D87:H87))/AVERAGE($D$91:$H$91)</f>
        <v>-3.7214306441116334E-3</v>
      </c>
      <c r="L58" s="504"/>
      <c r="M58" s="505"/>
      <c r="N58" s="256"/>
      <c r="O58" s="256"/>
      <c r="P58" s="256"/>
      <c r="Q58" s="256"/>
      <c r="R58" s="256"/>
      <c r="S58" s="256"/>
      <c r="T58" s="256"/>
      <c r="U58" s="256"/>
      <c r="V58" s="256"/>
      <c r="W58" s="256"/>
    </row>
    <row r="59" spans="1:23">
      <c r="A59" s="342"/>
      <c r="B59" s="279" t="s">
        <v>125</v>
      </c>
      <c r="C59" s="281" t="s">
        <v>163</v>
      </c>
      <c r="D59" s="151">
        <f>SUM(D56:D58)</f>
        <v>9.6637146038627664E-2</v>
      </c>
      <c r="E59" s="325">
        <f t="shared" ref="E59:K59" si="13">SUM(E56:E58)</f>
        <v>6.2991980148192614E-2</v>
      </c>
      <c r="F59" s="325">
        <f t="shared" si="13"/>
        <v>5.6146947152415791E-2</v>
      </c>
      <c r="G59" s="325">
        <f t="shared" si="13"/>
        <v>7.2273085069103696E-2</v>
      </c>
      <c r="H59" s="325">
        <f t="shared" si="13"/>
        <v>7.8104424365933858E-2</v>
      </c>
      <c r="I59" s="287"/>
      <c r="J59" s="325">
        <f t="shared" si="13"/>
        <v>9.6637146038627664E-2</v>
      </c>
      <c r="K59" s="325">
        <f t="shared" si="13"/>
        <v>7.3384101196745655E-2</v>
      </c>
      <c r="L59" s="514"/>
      <c r="M59" s="505"/>
      <c r="N59" s="256"/>
      <c r="O59" s="256"/>
      <c r="P59" s="256"/>
      <c r="Q59" s="256"/>
      <c r="R59" s="256"/>
      <c r="S59" s="256"/>
      <c r="T59" s="256"/>
      <c r="U59" s="256"/>
      <c r="V59" s="256"/>
      <c r="W59" s="256"/>
    </row>
    <row r="60" spans="1:23">
      <c r="A60" s="342"/>
      <c r="B60" s="288"/>
      <c r="C60" s="281"/>
      <c r="D60" s="289"/>
      <c r="E60" s="289"/>
      <c r="F60" s="289"/>
      <c r="G60" s="289"/>
      <c r="H60" s="289"/>
      <c r="I60" s="280"/>
      <c r="J60" s="280"/>
      <c r="K60" s="289"/>
      <c r="L60" s="505"/>
      <c r="M60" s="505"/>
      <c r="N60" s="256"/>
      <c r="O60" s="256"/>
      <c r="P60" s="256"/>
      <c r="Q60" s="256"/>
      <c r="R60" s="256"/>
      <c r="S60" s="256"/>
      <c r="T60" s="256"/>
      <c r="U60" s="256"/>
      <c r="V60" s="256"/>
      <c r="W60" s="256"/>
    </row>
    <row r="61" spans="1:23">
      <c r="A61" s="342"/>
      <c r="B61" s="288"/>
      <c r="C61" s="281"/>
      <c r="D61" s="289"/>
      <c r="E61" s="289"/>
      <c r="F61" s="289"/>
      <c r="G61" s="289"/>
      <c r="H61" s="289"/>
      <c r="I61" s="511"/>
      <c r="J61" s="511"/>
      <c r="K61" s="289"/>
      <c r="L61" s="505"/>
      <c r="M61" s="505"/>
      <c r="N61" s="256"/>
      <c r="O61" s="256"/>
      <c r="P61" s="256"/>
      <c r="Q61" s="256"/>
      <c r="R61" s="256"/>
      <c r="S61" s="256"/>
      <c r="T61" s="256"/>
      <c r="U61" s="256"/>
      <c r="V61" s="256"/>
      <c r="W61" s="256"/>
    </row>
    <row r="62" spans="1:23">
      <c r="A62" s="342"/>
      <c r="B62" s="290" t="s">
        <v>175</v>
      </c>
      <c r="C62" s="291"/>
      <c r="D62" s="292"/>
      <c r="E62" s="292"/>
      <c r="F62" s="292"/>
      <c r="G62" s="292"/>
      <c r="H62" s="292"/>
      <c r="I62" s="512"/>
      <c r="J62" s="512"/>
      <c r="K62" s="292"/>
      <c r="L62" s="513"/>
      <c r="M62" s="513"/>
      <c r="N62" s="256"/>
      <c r="O62" s="256"/>
      <c r="P62" s="256"/>
      <c r="Q62" s="256"/>
      <c r="R62" s="256"/>
      <c r="S62" s="256"/>
      <c r="T62" s="256"/>
      <c r="U62" s="256"/>
      <c r="V62" s="256"/>
      <c r="W62" s="256"/>
    </row>
    <row r="63" spans="1:23">
      <c r="A63" s="342"/>
      <c r="B63" s="293" t="s">
        <v>227</v>
      </c>
      <c r="C63" s="294"/>
      <c r="D63" s="294"/>
      <c r="E63" s="294"/>
      <c r="F63" s="294"/>
      <c r="G63" s="294"/>
      <c r="H63" s="294"/>
      <c r="I63" s="510"/>
      <c r="J63" s="510"/>
      <c r="K63" s="294"/>
      <c r="L63" s="510"/>
      <c r="M63" s="510"/>
      <c r="N63" s="256"/>
      <c r="O63" s="256"/>
      <c r="P63" s="256"/>
      <c r="Q63" s="256"/>
      <c r="R63" s="256"/>
      <c r="S63" s="256"/>
      <c r="T63" s="256"/>
      <c r="U63" s="256"/>
      <c r="V63" s="256"/>
      <c r="W63" s="256"/>
    </row>
    <row r="64" spans="1:23">
      <c r="A64" s="342"/>
      <c r="B64" s="265"/>
      <c r="C64" s="256"/>
      <c r="D64" s="256"/>
      <c r="E64" s="256"/>
      <c r="F64" s="256"/>
      <c r="G64" s="256"/>
      <c r="H64" s="256"/>
      <c r="I64" s="505"/>
      <c r="J64" s="505"/>
      <c r="K64" s="256"/>
      <c r="L64" s="505"/>
      <c r="M64" s="505"/>
      <c r="N64" s="256"/>
      <c r="O64" s="256"/>
      <c r="P64" s="256"/>
      <c r="Q64" s="256"/>
      <c r="R64" s="256"/>
      <c r="S64" s="256"/>
      <c r="T64" s="256"/>
      <c r="U64" s="256"/>
      <c r="V64" s="256"/>
      <c r="W64" s="256"/>
    </row>
    <row r="65" spans="1:23">
      <c r="B65" s="295" t="s">
        <v>177</v>
      </c>
      <c r="C65" s="104" t="s">
        <v>228</v>
      </c>
      <c r="D65" s="326">
        <v>73.259908337716681</v>
      </c>
      <c r="E65" s="326">
        <v>80.119478532744239</v>
      </c>
      <c r="F65" s="326">
        <v>82.641688044983624</v>
      </c>
      <c r="G65" s="326">
        <v>86.677135216613749</v>
      </c>
      <c r="H65" s="326">
        <v>91.009103809519729</v>
      </c>
      <c r="I65" s="265"/>
      <c r="J65" s="326">
        <v>73.259908337716681</v>
      </c>
      <c r="K65" s="326">
        <v>413.70731394157804</v>
      </c>
      <c r="L65" s="508"/>
      <c r="M65" s="507"/>
      <c r="N65" s="256"/>
      <c r="O65" s="256"/>
      <c r="P65" s="256"/>
      <c r="Q65" s="256"/>
      <c r="R65" s="256"/>
      <c r="S65" s="256"/>
      <c r="T65" s="256"/>
      <c r="U65" s="256"/>
      <c r="V65" s="256"/>
      <c r="W65" s="256"/>
    </row>
    <row r="66" spans="1:23">
      <c r="B66" s="295" t="s">
        <v>108</v>
      </c>
      <c r="C66" s="104" t="s">
        <v>228</v>
      </c>
      <c r="D66" s="326">
        <v>-15.009148997736053</v>
      </c>
      <c r="E66" s="326">
        <v>-14.749781076575825</v>
      </c>
      <c r="F66" s="326">
        <v>-1.9031472885761049</v>
      </c>
      <c r="G66" s="326">
        <v>12.47541324731008</v>
      </c>
      <c r="H66" s="326">
        <v>19.19575396448495</v>
      </c>
      <c r="I66" s="265"/>
      <c r="J66" s="326">
        <v>-15.009148997736053</v>
      </c>
      <c r="K66" s="326">
        <v>9.0898489070463384E-3</v>
      </c>
      <c r="L66" s="508"/>
      <c r="M66" s="507"/>
      <c r="N66" s="256"/>
      <c r="O66" s="256"/>
      <c r="P66" s="256"/>
      <c r="Q66" s="256"/>
      <c r="R66" s="256"/>
      <c r="S66" s="256"/>
      <c r="T66" s="256"/>
      <c r="U66" s="256"/>
      <c r="V66" s="256"/>
      <c r="W66" s="256"/>
    </row>
    <row r="67" spans="1:23">
      <c r="A67" s="314" t="s">
        <v>212</v>
      </c>
      <c r="B67" s="295" t="s">
        <v>109</v>
      </c>
      <c r="C67" s="104" t="s">
        <v>228</v>
      </c>
      <c r="D67" s="326">
        <v>0</v>
      </c>
      <c r="E67" s="326">
        <v>0</v>
      </c>
      <c r="F67" s="326">
        <v>0</v>
      </c>
      <c r="G67" s="326">
        <v>0</v>
      </c>
      <c r="H67" s="326">
        <v>0</v>
      </c>
      <c r="I67" s="265"/>
      <c r="J67" s="326">
        <v>0</v>
      </c>
      <c r="K67" s="326">
        <v>0</v>
      </c>
      <c r="L67" s="508"/>
      <c r="M67" s="507"/>
      <c r="N67" s="256"/>
      <c r="O67" s="256"/>
      <c r="P67" s="256"/>
      <c r="Q67" s="256"/>
      <c r="R67" s="256"/>
      <c r="S67" s="256"/>
      <c r="T67" s="256"/>
      <c r="U67" s="256"/>
      <c r="V67" s="256"/>
      <c r="W67" s="256"/>
    </row>
    <row r="68" spans="1:23">
      <c r="A68" s="343" t="s">
        <v>213</v>
      </c>
      <c r="B68" s="295" t="s">
        <v>110</v>
      </c>
      <c r="C68" s="298" t="s">
        <v>228</v>
      </c>
      <c r="D68" s="326">
        <v>-0.20195364155844167</v>
      </c>
      <c r="E68" s="326">
        <v>-9.8504850000000338E-2</v>
      </c>
      <c r="F68" s="326">
        <v>-9.8504850000000338E-2</v>
      </c>
      <c r="G68" s="326">
        <v>-9.8504850000000338E-2</v>
      </c>
      <c r="H68" s="326">
        <v>-9.8504850000000338E-2</v>
      </c>
      <c r="I68" s="327"/>
      <c r="J68" s="326">
        <v>-0.20195364155844167</v>
      </c>
      <c r="K68" s="326">
        <v>-0.595973041558443</v>
      </c>
      <c r="L68" s="508"/>
      <c r="M68" s="507"/>
      <c r="N68" s="256"/>
      <c r="O68" s="256"/>
      <c r="P68" s="256"/>
      <c r="Q68" s="256"/>
      <c r="R68" s="256"/>
      <c r="S68" s="256"/>
      <c r="T68" s="256"/>
      <c r="U68" s="256"/>
      <c r="V68" s="256"/>
      <c r="W68" s="256"/>
    </row>
    <row r="69" spans="1:23">
      <c r="A69" s="343" t="s">
        <v>214</v>
      </c>
      <c r="B69" s="295" t="s">
        <v>111</v>
      </c>
      <c r="C69" s="298" t="s">
        <v>228</v>
      </c>
      <c r="D69" s="326">
        <v>-2.7913401565258731</v>
      </c>
      <c r="E69" s="326">
        <v>1.1130000000000027</v>
      </c>
      <c r="F69" s="326">
        <v>1.1130000000000027</v>
      </c>
      <c r="G69" s="326">
        <v>1.1130000000000027</v>
      </c>
      <c r="H69" s="326">
        <v>1.1130000000000027</v>
      </c>
      <c r="I69" s="327"/>
      <c r="J69" s="326">
        <v>-2.7913401565258731</v>
      </c>
      <c r="K69" s="326">
        <v>1.6606598434741375</v>
      </c>
      <c r="L69" s="508"/>
      <c r="M69" s="507"/>
      <c r="N69" s="256"/>
      <c r="O69" s="256"/>
      <c r="P69" s="256"/>
      <c r="Q69" s="256"/>
      <c r="R69" s="256"/>
      <c r="S69" s="256"/>
      <c r="T69" s="256"/>
      <c r="U69" s="256"/>
      <c r="V69" s="256"/>
      <c r="W69" s="256"/>
    </row>
    <row r="70" spans="1:23">
      <c r="A70" s="343" t="s">
        <v>215</v>
      </c>
      <c r="B70" s="295" t="s">
        <v>112</v>
      </c>
      <c r="C70" s="298" t="s">
        <v>228</v>
      </c>
      <c r="D70" s="326">
        <v>-9.7702175411914123</v>
      </c>
      <c r="E70" s="326">
        <v>-2.8253850589454261</v>
      </c>
      <c r="F70" s="326">
        <v>0.47913088858726344</v>
      </c>
      <c r="G70" s="326">
        <v>2.0377185158264703</v>
      </c>
      <c r="H70" s="326">
        <v>3.8339380570415433</v>
      </c>
      <c r="I70" s="327"/>
      <c r="J70" s="326">
        <v>-9.7702175411914123</v>
      </c>
      <c r="K70" s="326">
        <v>-6.2448151386815596</v>
      </c>
      <c r="L70" s="508"/>
      <c r="M70" s="507"/>
      <c r="N70" s="256"/>
      <c r="O70" s="256"/>
      <c r="P70" s="256"/>
      <c r="Q70" s="256"/>
      <c r="R70" s="256"/>
      <c r="S70" s="256"/>
      <c r="T70" s="256"/>
      <c r="U70" s="256"/>
      <c r="V70" s="256"/>
      <c r="W70" s="256"/>
    </row>
    <row r="71" spans="1:23">
      <c r="A71" s="343" t="s">
        <v>216</v>
      </c>
      <c r="B71" s="295" t="s">
        <v>113</v>
      </c>
      <c r="C71" s="298" t="s">
        <v>228</v>
      </c>
      <c r="D71" s="326">
        <v>0</v>
      </c>
      <c r="E71" s="326">
        <v>0</v>
      </c>
      <c r="F71" s="326">
        <v>0</v>
      </c>
      <c r="G71" s="326">
        <v>0</v>
      </c>
      <c r="H71" s="326">
        <v>0</v>
      </c>
      <c r="I71" s="327"/>
      <c r="J71" s="326">
        <v>0</v>
      </c>
      <c r="K71" s="326">
        <v>0</v>
      </c>
      <c r="L71" s="508"/>
      <c r="M71" s="507"/>
      <c r="N71" s="256"/>
      <c r="O71" s="256"/>
      <c r="P71" s="256"/>
      <c r="Q71" s="256"/>
      <c r="R71" s="256"/>
      <c r="S71" s="256"/>
      <c r="T71" s="256"/>
      <c r="U71" s="256"/>
      <c r="V71" s="256"/>
      <c r="W71" s="256"/>
    </row>
    <row r="72" spans="1:23">
      <c r="A72" s="343" t="s">
        <v>217</v>
      </c>
      <c r="B72" s="295" t="s">
        <v>114</v>
      </c>
      <c r="C72" s="298" t="s">
        <v>228</v>
      </c>
      <c r="D72" s="326">
        <v>0</v>
      </c>
      <c r="E72" s="326">
        <v>0</v>
      </c>
      <c r="F72" s="326">
        <v>0</v>
      </c>
      <c r="G72" s="326">
        <v>0</v>
      </c>
      <c r="H72" s="326">
        <v>0</v>
      </c>
      <c r="I72" s="327"/>
      <c r="J72" s="326">
        <v>0</v>
      </c>
      <c r="K72" s="326">
        <v>0</v>
      </c>
      <c r="L72" s="508"/>
      <c r="M72" s="507"/>
      <c r="N72" s="256"/>
      <c r="O72" s="256"/>
      <c r="P72" s="256"/>
      <c r="Q72" s="256"/>
      <c r="R72" s="256"/>
      <c r="S72" s="256"/>
      <c r="T72" s="256"/>
      <c r="U72" s="256"/>
      <c r="V72" s="256"/>
      <c r="W72" s="256"/>
    </row>
    <row r="73" spans="1:23">
      <c r="A73" s="314" t="s">
        <v>218</v>
      </c>
      <c r="B73" s="295" t="s">
        <v>115</v>
      </c>
      <c r="C73" s="104" t="s">
        <v>228</v>
      </c>
      <c r="D73" s="326">
        <v>0.71630000000000016</v>
      </c>
      <c r="E73" s="326">
        <v>0</v>
      </c>
      <c r="F73" s="326">
        <v>0</v>
      </c>
      <c r="G73" s="326">
        <v>0</v>
      </c>
      <c r="H73" s="326">
        <v>0</v>
      </c>
      <c r="I73" s="327"/>
      <c r="J73" s="326">
        <v>0.71630000000000016</v>
      </c>
      <c r="K73" s="326">
        <v>0.71630000000000016</v>
      </c>
      <c r="L73" s="508"/>
      <c r="M73" s="507"/>
      <c r="N73" s="256"/>
      <c r="O73" s="256"/>
      <c r="P73" s="256"/>
      <c r="Q73" s="256"/>
      <c r="R73" s="256"/>
      <c r="S73" s="256"/>
      <c r="T73" s="256"/>
      <c r="U73" s="256"/>
      <c r="V73" s="256"/>
      <c r="W73" s="256"/>
    </row>
    <row r="74" spans="1:23">
      <c r="A74" s="314" t="s">
        <v>219</v>
      </c>
      <c r="B74" s="295" t="s">
        <v>118</v>
      </c>
      <c r="C74" s="104" t="s">
        <v>228</v>
      </c>
      <c r="D74" s="326">
        <v>-0.16969275963815333</v>
      </c>
      <c r="E74" s="326">
        <v>-0.23079905524741362</v>
      </c>
      <c r="F74" s="326">
        <v>-0.18949019314237564</v>
      </c>
      <c r="G74" s="326">
        <v>-0.13441668873153748</v>
      </c>
      <c r="H74" s="326">
        <v>-0.10893463657385326</v>
      </c>
      <c r="I74" s="265"/>
      <c r="J74" s="326">
        <v>-0.16969275963815333</v>
      </c>
      <c r="K74" s="326">
        <v>-0.83333333333333337</v>
      </c>
      <c r="L74" s="508"/>
      <c r="M74" s="507"/>
      <c r="N74" s="256"/>
      <c r="O74" s="256"/>
      <c r="P74" s="256"/>
      <c r="Q74" s="256"/>
      <c r="R74" s="256"/>
      <c r="S74" s="256"/>
      <c r="T74" s="256"/>
      <c r="U74" s="256"/>
      <c r="V74" s="256"/>
      <c r="W74" s="256"/>
    </row>
    <row r="75" spans="1:23">
      <c r="A75" s="314" t="s">
        <v>220</v>
      </c>
      <c r="B75" s="295" t="s">
        <v>119</v>
      </c>
      <c r="C75" s="104" t="s">
        <v>228</v>
      </c>
      <c r="D75" s="326">
        <v>-0.10484262859035182</v>
      </c>
      <c r="E75" s="326">
        <v>0</v>
      </c>
      <c r="F75" s="326">
        <v>0</v>
      </c>
      <c r="G75" s="326">
        <v>0</v>
      </c>
      <c r="H75" s="326">
        <v>0</v>
      </c>
      <c r="I75" s="265"/>
      <c r="J75" s="326">
        <v>-0.10484262859035182</v>
      </c>
      <c r="K75" s="326">
        <v>-0.10484262859035182</v>
      </c>
      <c r="L75" s="508"/>
      <c r="M75" s="507"/>
      <c r="N75" s="256"/>
      <c r="O75" s="256"/>
      <c r="P75" s="256"/>
      <c r="Q75" s="256"/>
      <c r="R75" s="256"/>
      <c r="S75" s="256"/>
      <c r="T75" s="256"/>
      <c r="U75" s="256"/>
      <c r="V75" s="256"/>
      <c r="W75" s="256"/>
    </row>
    <row r="76" spans="1:23">
      <c r="A76" s="314" t="s">
        <v>221</v>
      </c>
      <c r="B76" s="295" t="s">
        <v>120</v>
      </c>
      <c r="C76" s="104" t="s">
        <v>228</v>
      </c>
      <c r="D76" s="326">
        <v>-9.9606232925293942E-2</v>
      </c>
      <c r="E76" s="326">
        <v>-4.8052871651315714E-2</v>
      </c>
      <c r="F76" s="326">
        <v>-0.15080204943345887</v>
      </c>
      <c r="G76" s="326">
        <v>-6.1137317758894978E-2</v>
      </c>
      <c r="H76" s="326">
        <v>-2.8537328948758853E-2</v>
      </c>
      <c r="I76" s="265"/>
      <c r="J76" s="326">
        <v>-9.9606232925293942E-2</v>
      </c>
      <c r="K76" s="326">
        <v>-0.38813580071772241</v>
      </c>
      <c r="L76" s="508"/>
      <c r="M76" s="507"/>
      <c r="N76" s="256"/>
      <c r="O76" s="256"/>
      <c r="P76" s="256"/>
      <c r="Q76" s="256"/>
      <c r="R76" s="256"/>
      <c r="S76" s="256"/>
      <c r="T76" s="256"/>
      <c r="U76" s="256"/>
      <c r="V76" s="256"/>
      <c r="W76" s="256"/>
    </row>
    <row r="77" spans="1:23">
      <c r="A77" s="314" t="s">
        <v>222</v>
      </c>
      <c r="B77" s="295"/>
      <c r="C77" s="104" t="s">
        <v>228</v>
      </c>
      <c r="D77" s="326">
        <v>0</v>
      </c>
      <c r="E77" s="326">
        <v>0</v>
      </c>
      <c r="F77" s="326">
        <v>0</v>
      </c>
      <c r="G77" s="326">
        <v>0</v>
      </c>
      <c r="H77" s="326">
        <v>0</v>
      </c>
      <c r="I77" s="265"/>
      <c r="J77" s="326">
        <v>0</v>
      </c>
      <c r="K77" s="326">
        <v>0</v>
      </c>
      <c r="L77" s="508"/>
      <c r="M77" s="507"/>
      <c r="N77" s="256"/>
      <c r="O77" s="256"/>
      <c r="P77" s="256"/>
      <c r="Q77" s="256"/>
      <c r="R77" s="256"/>
      <c r="S77" s="256"/>
      <c r="T77" s="256"/>
      <c r="U77" s="256"/>
      <c r="V77" s="256"/>
      <c r="W77" s="256"/>
    </row>
    <row r="78" spans="1:23">
      <c r="A78" s="314" t="s">
        <v>223</v>
      </c>
      <c r="B78" s="295"/>
      <c r="C78" s="104" t="s">
        <v>228</v>
      </c>
      <c r="D78" s="326">
        <v>0</v>
      </c>
      <c r="E78" s="326">
        <v>0</v>
      </c>
      <c r="F78" s="326">
        <v>0</v>
      </c>
      <c r="G78" s="326">
        <v>0</v>
      </c>
      <c r="H78" s="326">
        <v>0</v>
      </c>
      <c r="I78" s="265"/>
      <c r="J78" s="326">
        <v>0</v>
      </c>
      <c r="K78" s="326">
        <v>0</v>
      </c>
      <c r="L78" s="508"/>
      <c r="M78" s="507"/>
      <c r="N78" s="256"/>
      <c r="O78" s="256"/>
      <c r="P78" s="256"/>
      <c r="Q78" s="256"/>
      <c r="R78" s="256"/>
      <c r="S78" s="256"/>
      <c r="T78" s="256"/>
      <c r="U78" s="256"/>
      <c r="V78" s="256"/>
      <c r="W78" s="256"/>
    </row>
    <row r="79" spans="1:23">
      <c r="A79" s="314" t="s">
        <v>224</v>
      </c>
      <c r="B79" s="295"/>
      <c r="C79" s="104" t="s">
        <v>228</v>
      </c>
      <c r="D79" s="326">
        <v>0</v>
      </c>
      <c r="E79" s="326">
        <v>0</v>
      </c>
      <c r="F79" s="326">
        <v>0</v>
      </c>
      <c r="G79" s="326">
        <v>0</v>
      </c>
      <c r="H79" s="326">
        <v>0</v>
      </c>
      <c r="I79" s="265"/>
      <c r="J79" s="326">
        <v>0</v>
      </c>
      <c r="K79" s="326">
        <v>0</v>
      </c>
      <c r="L79" s="508"/>
      <c r="M79" s="507"/>
      <c r="N79" s="256"/>
      <c r="O79" s="256"/>
      <c r="P79" s="256"/>
      <c r="Q79" s="256"/>
      <c r="R79" s="256"/>
      <c r="S79" s="256"/>
      <c r="T79" s="256"/>
      <c r="U79" s="256"/>
      <c r="V79" s="256"/>
      <c r="W79" s="256"/>
    </row>
    <row r="80" spans="1:23">
      <c r="A80" s="314" t="s">
        <v>225</v>
      </c>
      <c r="B80" s="295"/>
      <c r="C80" s="104" t="s">
        <v>228</v>
      </c>
      <c r="D80" s="326">
        <v>0</v>
      </c>
      <c r="E80" s="326">
        <v>0</v>
      </c>
      <c r="F80" s="326">
        <v>0</v>
      </c>
      <c r="G80" s="326">
        <v>0</v>
      </c>
      <c r="H80" s="326">
        <v>0</v>
      </c>
      <c r="I80" s="265"/>
      <c r="J80" s="326">
        <v>0</v>
      </c>
      <c r="K80" s="326">
        <v>0</v>
      </c>
      <c r="L80" s="508"/>
      <c r="M80" s="507"/>
      <c r="N80" s="256"/>
      <c r="O80" s="256"/>
      <c r="P80" s="256"/>
      <c r="Q80" s="256"/>
      <c r="R80" s="256"/>
      <c r="S80" s="256"/>
      <c r="T80" s="256"/>
      <c r="U80" s="256"/>
      <c r="V80" s="256"/>
      <c r="W80" s="256"/>
    </row>
    <row r="81" spans="1:23">
      <c r="A81" s="314" t="s">
        <v>226</v>
      </c>
      <c r="B81" s="295"/>
      <c r="C81" s="104" t="s">
        <v>228</v>
      </c>
      <c r="D81" s="326">
        <v>0</v>
      </c>
      <c r="E81" s="326">
        <v>0</v>
      </c>
      <c r="F81" s="326">
        <v>0</v>
      </c>
      <c r="G81" s="326">
        <v>0</v>
      </c>
      <c r="H81" s="326">
        <v>0</v>
      </c>
      <c r="I81" s="265"/>
      <c r="J81" s="326">
        <v>0</v>
      </c>
      <c r="K81" s="326">
        <v>0</v>
      </c>
      <c r="L81" s="508"/>
      <c r="M81" s="507"/>
      <c r="N81" s="256"/>
      <c r="O81" s="256"/>
      <c r="P81" s="256"/>
      <c r="Q81" s="256"/>
      <c r="R81" s="256"/>
      <c r="S81" s="256"/>
      <c r="T81" s="256"/>
      <c r="U81" s="256"/>
      <c r="V81" s="256"/>
      <c r="W81" s="256"/>
    </row>
    <row r="82" spans="1:23">
      <c r="B82" s="295" t="s">
        <v>121</v>
      </c>
      <c r="C82" s="104" t="s">
        <v>228</v>
      </c>
      <c r="D82" s="326">
        <v>-1.5169106774064331</v>
      </c>
      <c r="E82" s="326">
        <v>-0.95985449212508844</v>
      </c>
      <c r="F82" s="326">
        <v>-0.94509514278487283</v>
      </c>
      <c r="G82" s="326">
        <v>-0.56867185467843595</v>
      </c>
      <c r="H82" s="326">
        <v>-0.56622776261551655</v>
      </c>
      <c r="I82" s="265"/>
      <c r="J82" s="326">
        <v>-1.5169106774064331</v>
      </c>
      <c r="K82" s="326">
        <v>-4.5567599296103465</v>
      </c>
      <c r="L82" s="508"/>
      <c r="M82" s="507"/>
      <c r="N82" s="256"/>
      <c r="O82" s="256"/>
      <c r="P82" s="256"/>
      <c r="Q82" s="256"/>
      <c r="R82" s="256"/>
      <c r="S82" s="256"/>
      <c r="T82" s="256"/>
      <c r="U82" s="256"/>
      <c r="V82" s="256"/>
      <c r="W82" s="256"/>
    </row>
    <row r="83" spans="1:23">
      <c r="A83" s="344"/>
      <c r="B83" s="300" t="s">
        <v>122</v>
      </c>
      <c r="C83" s="104" t="s">
        <v>228</v>
      </c>
      <c r="D83" s="328">
        <v>44.312495702144666</v>
      </c>
      <c r="E83" s="328">
        <v>62.320101128199177</v>
      </c>
      <c r="F83" s="328">
        <v>80.946779409634075</v>
      </c>
      <c r="G83" s="328">
        <v>101.44053626858141</v>
      </c>
      <c r="H83" s="328">
        <v>114.34959125290808</v>
      </c>
      <c r="I83" s="329"/>
      <c r="J83" s="328">
        <v>44.312495702144666</v>
      </c>
      <c r="K83" s="328">
        <v>403.3695037614674</v>
      </c>
      <c r="L83" s="509"/>
      <c r="M83" s="507"/>
      <c r="N83" s="256"/>
      <c r="O83" s="256"/>
      <c r="P83" s="256"/>
      <c r="Q83" s="256"/>
      <c r="R83" s="256"/>
      <c r="S83" s="256"/>
      <c r="T83" s="256"/>
      <c r="U83" s="256"/>
      <c r="V83" s="256"/>
      <c r="W83" s="256"/>
    </row>
    <row r="84" spans="1:23">
      <c r="B84" s="295" t="s">
        <v>123</v>
      </c>
      <c r="C84" s="104" t="s">
        <v>228</v>
      </c>
      <c r="D84" s="326">
        <v>159.78510628956712</v>
      </c>
      <c r="E84" s="326">
        <v>51.25516607089429</v>
      </c>
      <c r="F84" s="326">
        <v>12.826790370906618</v>
      </c>
      <c r="G84" s="326">
        <v>15.624368498377125</v>
      </c>
      <c r="H84" s="326">
        <v>16.172863440175085</v>
      </c>
      <c r="I84" s="265"/>
      <c r="J84" s="326">
        <v>159.78510628956712</v>
      </c>
      <c r="K84" s="326">
        <v>255.66429466992025</v>
      </c>
      <c r="L84" s="508"/>
      <c r="M84" s="507"/>
      <c r="N84" s="256"/>
      <c r="O84" s="256"/>
      <c r="P84" s="256"/>
      <c r="Q84" s="256"/>
      <c r="R84" s="256"/>
      <c r="S84" s="256"/>
      <c r="T84" s="256"/>
      <c r="U84" s="256"/>
      <c r="V84" s="256"/>
      <c r="W84" s="256"/>
    </row>
    <row r="85" spans="1:23">
      <c r="B85" s="295" t="s">
        <v>179</v>
      </c>
      <c r="C85" s="104" t="s">
        <v>228</v>
      </c>
      <c r="D85" s="326">
        <v>-17.580551987736257</v>
      </c>
      <c r="E85" s="326">
        <v>2.3565320980191267</v>
      </c>
      <c r="F85" s="326">
        <v>5.6283349675845491</v>
      </c>
      <c r="G85" s="326">
        <v>0.55624940728843653</v>
      </c>
      <c r="H85" s="326">
        <v>0.2104369039606877</v>
      </c>
      <c r="I85" s="265"/>
      <c r="J85" s="326">
        <v>-17.580551987736257</v>
      </c>
      <c r="K85" s="326">
        <v>-8.8289986108834562</v>
      </c>
      <c r="L85" s="508"/>
      <c r="M85" s="507"/>
      <c r="N85" s="256"/>
      <c r="O85" s="256"/>
      <c r="P85" s="256"/>
      <c r="Q85" s="256"/>
      <c r="R85" s="256"/>
      <c r="S85" s="256"/>
      <c r="T85" s="256"/>
      <c r="U85" s="256"/>
      <c r="V85" s="256"/>
      <c r="W85" s="256"/>
    </row>
    <row r="86" spans="1:23">
      <c r="B86" s="295" t="s">
        <v>124</v>
      </c>
      <c r="C86" s="104" t="s">
        <v>228</v>
      </c>
      <c r="D86" s="326">
        <v>-19.431382005343302</v>
      </c>
      <c r="E86" s="326">
        <v>-7.0139957344138431</v>
      </c>
      <c r="F86" s="326">
        <v>-2.2946930972831812</v>
      </c>
      <c r="G86" s="326">
        <v>-2.5155607206962856</v>
      </c>
      <c r="H86" s="326">
        <v>-2.3331806007022742</v>
      </c>
      <c r="I86" s="265"/>
      <c r="J86" s="326">
        <v>-19.431382005343302</v>
      </c>
      <c r="K86" s="326">
        <v>-33.588812158438884</v>
      </c>
      <c r="L86" s="508"/>
      <c r="M86" s="507"/>
      <c r="N86" s="256"/>
      <c r="O86" s="256"/>
      <c r="P86" s="256"/>
      <c r="Q86" s="256"/>
      <c r="R86" s="256"/>
      <c r="S86" s="256"/>
      <c r="T86" s="256"/>
      <c r="U86" s="256"/>
      <c r="V86" s="256"/>
      <c r="W86" s="256"/>
    </row>
    <row r="87" spans="1:23">
      <c r="B87" s="295" t="s">
        <v>180</v>
      </c>
      <c r="C87" s="104" t="s">
        <v>228</v>
      </c>
      <c r="D87" s="326">
        <v>4.3951379969340572</v>
      </c>
      <c r="E87" s="326">
        <v>-0.589133024504779</v>
      </c>
      <c r="F87" s="326">
        <v>-1.4070837418961375</v>
      </c>
      <c r="G87" s="326">
        <v>-0.13906235182210835</v>
      </c>
      <c r="H87" s="326">
        <v>-5.2609225990170927E-2</v>
      </c>
      <c r="I87" s="265"/>
      <c r="J87" s="326">
        <v>4.3951379969340572</v>
      </c>
      <c r="K87" s="326">
        <v>2.2072496527208614</v>
      </c>
      <c r="L87" s="508"/>
      <c r="M87" s="507"/>
      <c r="N87" s="256"/>
      <c r="O87" s="256"/>
      <c r="P87" s="256"/>
      <c r="Q87" s="256"/>
      <c r="R87" s="256"/>
      <c r="S87" s="256"/>
      <c r="T87" s="256"/>
      <c r="U87" s="256"/>
      <c r="V87" s="256"/>
      <c r="W87" s="256"/>
    </row>
    <row r="88" spans="1:23">
      <c r="A88" s="344"/>
      <c r="B88" s="300" t="s">
        <v>125</v>
      </c>
      <c r="C88" s="104" t="s">
        <v>228</v>
      </c>
      <c r="D88" s="328">
        <v>171.4808059955663</v>
      </c>
      <c r="E88" s="328">
        <v>108.32867053819399</v>
      </c>
      <c r="F88" s="328">
        <v>95.700127908945916</v>
      </c>
      <c r="G88" s="328">
        <v>114.96653110172858</v>
      </c>
      <c r="H88" s="328">
        <v>128.3471017703514</v>
      </c>
      <c r="I88" s="329"/>
      <c r="J88" s="328">
        <v>171.4808059955663</v>
      </c>
      <c r="K88" s="328">
        <v>618.82323731478618</v>
      </c>
      <c r="L88" s="509"/>
      <c r="M88" s="507"/>
      <c r="N88" s="256"/>
      <c r="O88" s="256"/>
      <c r="P88" s="256"/>
      <c r="Q88" s="256"/>
      <c r="R88" s="256"/>
      <c r="S88" s="256"/>
      <c r="T88" s="256"/>
      <c r="U88" s="256"/>
      <c r="V88" s="256"/>
      <c r="W88" s="256"/>
    </row>
    <row r="89" spans="1:23">
      <c r="B89" s="295"/>
      <c r="D89" s="305"/>
      <c r="E89" s="256"/>
      <c r="F89" s="256"/>
      <c r="G89" s="256"/>
      <c r="H89" s="256"/>
      <c r="I89" s="265"/>
      <c r="J89" s="265"/>
      <c r="K89" s="256"/>
      <c r="L89" s="507"/>
      <c r="M89" s="507"/>
      <c r="N89" s="256"/>
      <c r="O89" s="256"/>
      <c r="P89" s="256"/>
      <c r="Q89" s="256"/>
      <c r="R89" s="256"/>
      <c r="S89" s="256"/>
      <c r="T89" s="256"/>
      <c r="U89" s="256"/>
      <c r="V89" s="256"/>
      <c r="W89" s="256"/>
    </row>
    <row r="90" spans="1:23">
      <c r="B90" s="295" t="s">
        <v>181</v>
      </c>
      <c r="C90" s="104" t="s">
        <v>228</v>
      </c>
      <c r="D90" s="326">
        <v>1386.6068438448713</v>
      </c>
      <c r="E90" s="326">
        <v>1433.8939026279525</v>
      </c>
      <c r="F90" s="326">
        <v>1497.7987944702923</v>
      </c>
      <c r="G90" s="326">
        <v>1566.8244084498037</v>
      </c>
      <c r="H90" s="326">
        <v>1640.1218263261612</v>
      </c>
      <c r="I90" s="508"/>
      <c r="J90" s="507"/>
      <c r="K90" s="256"/>
      <c r="L90" s="507"/>
      <c r="M90" s="507"/>
      <c r="N90" s="256"/>
      <c r="O90" s="256"/>
      <c r="P90" s="256"/>
      <c r="Q90" s="256"/>
      <c r="R90" s="256"/>
      <c r="S90" s="256"/>
      <c r="T90" s="256"/>
      <c r="U90" s="256"/>
      <c r="V90" s="256"/>
      <c r="W90" s="256"/>
    </row>
    <row r="91" spans="1:23">
      <c r="B91" s="295" t="s">
        <v>182</v>
      </c>
      <c r="C91" s="104" t="s">
        <v>228</v>
      </c>
      <c r="D91" s="326">
        <v>1774.4812737642542</v>
      </c>
      <c r="E91" s="326">
        <v>1719.7216262029533</v>
      </c>
      <c r="F91" s="326">
        <v>1704.4582610904843</v>
      </c>
      <c r="G91" s="326">
        <v>1590.724001774709</v>
      </c>
      <c r="H91" s="326">
        <v>1643.2756890828769</v>
      </c>
      <c r="I91" s="508"/>
      <c r="J91" s="507"/>
      <c r="K91" s="256"/>
      <c r="L91" s="507"/>
      <c r="M91" s="507"/>
      <c r="N91" s="256"/>
      <c r="O91" s="256"/>
      <c r="P91" s="256"/>
      <c r="Q91" s="256"/>
      <c r="R91" s="256"/>
      <c r="S91" s="256"/>
      <c r="T91" s="256"/>
      <c r="U91" s="256"/>
      <c r="V91" s="256"/>
      <c r="W91" s="256"/>
    </row>
    <row r="92" spans="1:23">
      <c r="A92" s="342"/>
      <c r="B92" s="265"/>
      <c r="C92" s="256"/>
      <c r="D92" s="256"/>
      <c r="E92" s="256"/>
      <c r="F92" s="256"/>
      <c r="G92" s="256"/>
      <c r="H92" s="256"/>
      <c r="I92" s="505"/>
      <c r="J92" s="505"/>
      <c r="K92" s="256"/>
      <c r="L92" s="507"/>
      <c r="M92" s="507"/>
      <c r="N92" s="256"/>
      <c r="O92" s="256"/>
      <c r="P92" s="256"/>
      <c r="Q92" s="256"/>
      <c r="R92" s="256"/>
      <c r="S92" s="256"/>
      <c r="T92" s="256"/>
      <c r="U92" s="256"/>
      <c r="V92" s="256"/>
      <c r="W92" s="256"/>
    </row>
    <row r="93" spans="1:23">
      <c r="A93" s="342"/>
      <c r="B93" s="265"/>
      <c r="C93" s="256"/>
      <c r="D93" s="256"/>
      <c r="E93" s="256"/>
      <c r="F93" s="256"/>
      <c r="G93" s="256"/>
      <c r="H93" s="256"/>
      <c r="I93" s="505"/>
      <c r="J93" s="505"/>
      <c r="K93" s="256"/>
      <c r="L93" s="507"/>
      <c r="M93" s="507"/>
      <c r="N93" s="256"/>
      <c r="O93" s="256"/>
      <c r="P93" s="256"/>
      <c r="Q93" s="256"/>
      <c r="R93" s="256"/>
      <c r="S93" s="256"/>
      <c r="T93" s="256"/>
      <c r="U93" s="256"/>
      <c r="V93" s="256"/>
      <c r="W93" s="256"/>
    </row>
    <row r="94" spans="1:23">
      <c r="A94" s="342"/>
      <c r="B94" s="306" t="s">
        <v>238</v>
      </c>
      <c r="D94" s="307" t="str">
        <f>ED!D100</f>
        <v>Actuals</v>
      </c>
      <c r="E94" s="307" t="str">
        <f>ED!E100</f>
        <v>Forecast</v>
      </c>
      <c r="F94" s="307" t="str">
        <f>ED!F100</f>
        <v>Forecast</v>
      </c>
      <c r="G94" s="307" t="str">
        <f>ED!G100</f>
        <v>Forecast</v>
      </c>
      <c r="H94" s="307" t="str">
        <f>ED!H100</f>
        <v>Forecast</v>
      </c>
      <c r="L94" s="507"/>
      <c r="M94" s="507"/>
      <c r="N94" s="256"/>
      <c r="O94" s="256"/>
      <c r="P94" s="256"/>
      <c r="Q94" s="256"/>
      <c r="R94" s="256"/>
      <c r="S94" s="256"/>
      <c r="T94" s="256"/>
      <c r="U94" s="256"/>
      <c r="V94" s="256"/>
      <c r="W94" s="256"/>
    </row>
    <row r="95" spans="1:23" ht="22.8">
      <c r="A95" s="342"/>
      <c r="B95" s="308"/>
      <c r="D95" s="309">
        <f>ED!D101</f>
        <v>2024</v>
      </c>
      <c r="E95" s="309">
        <f>ED!E101</f>
        <v>2025</v>
      </c>
      <c r="F95" s="309">
        <f>ED!F101</f>
        <v>2026</v>
      </c>
      <c r="G95" s="309">
        <f>ED!G101</f>
        <v>2027</v>
      </c>
      <c r="H95" s="309">
        <f>ED!H101</f>
        <v>2028</v>
      </c>
      <c r="J95" s="310" t="str">
        <f>ED!J101</f>
        <v>Cumulative to 2024</v>
      </c>
      <c r="K95" s="309" t="str">
        <f>ED!K101</f>
        <v>RIIO-2 period</v>
      </c>
      <c r="L95" s="504"/>
      <c r="M95" s="505"/>
      <c r="N95" s="256"/>
      <c r="O95" s="256"/>
      <c r="P95" s="256"/>
      <c r="Q95" s="256"/>
      <c r="R95" s="256"/>
      <c r="S95" s="256"/>
      <c r="T95" s="256"/>
      <c r="U95" s="256"/>
      <c r="V95" s="256"/>
      <c r="W95" s="256"/>
    </row>
    <row r="96" spans="1:23">
      <c r="A96" s="342"/>
      <c r="B96" s="308" t="s">
        <v>154</v>
      </c>
      <c r="C96" s="104" t="s">
        <v>228</v>
      </c>
      <c r="D96" s="337">
        <f>SUM(D105,D114)</f>
        <v>412.84572122145818</v>
      </c>
      <c r="E96" s="337">
        <f t="shared" ref="E96:H100" si="14">SUM(E105,E114)</f>
        <v>545.55080343861096</v>
      </c>
      <c r="F96" s="337">
        <f t="shared" si="14"/>
        <v>585.63148918861543</v>
      </c>
      <c r="G96" s="337">
        <f t="shared" si="14"/>
        <v>591.56111709228253</v>
      </c>
      <c r="H96" s="337">
        <f t="shared" si="14"/>
        <v>586.11190299164468</v>
      </c>
      <c r="I96" s="308"/>
      <c r="J96" s="337">
        <f>SUM(J105,J114)</f>
        <v>412.84572122145818</v>
      </c>
      <c r="K96" s="337">
        <f>SUM(K105,K114)</f>
        <v>2721.7010339326116</v>
      </c>
      <c r="L96" s="504"/>
      <c r="M96" s="505"/>
      <c r="N96" s="256"/>
      <c r="O96" s="256"/>
      <c r="P96" s="256"/>
      <c r="Q96" s="256"/>
      <c r="R96" s="256"/>
      <c r="S96" s="256"/>
      <c r="T96" s="256"/>
      <c r="U96" s="256"/>
      <c r="V96" s="256"/>
      <c r="W96" s="256"/>
    </row>
    <row r="97" spans="1:23" ht="30" customHeight="1">
      <c r="A97" s="342"/>
      <c r="B97" s="312" t="s">
        <v>155</v>
      </c>
      <c r="C97" s="104" t="s">
        <v>228</v>
      </c>
      <c r="D97" s="337">
        <f>SUM(D106,D115)</f>
        <v>533.85604748555306</v>
      </c>
      <c r="E97" s="337">
        <f t="shared" si="14"/>
        <v>579.43685782672287</v>
      </c>
      <c r="F97" s="337">
        <f t="shared" si="14"/>
        <v>545.36508573187655</v>
      </c>
      <c r="G97" s="337">
        <f t="shared" si="14"/>
        <v>584.7219779794317</v>
      </c>
      <c r="H97" s="337">
        <f t="shared" si="14"/>
        <v>588.20391724388435</v>
      </c>
      <c r="I97" s="308"/>
      <c r="J97" s="337">
        <f>SUM(J106,J115)</f>
        <v>533.85604748555306</v>
      </c>
      <c r="K97" s="337">
        <f>SUM(K106,K115)</f>
        <v>2831.5838862674686</v>
      </c>
      <c r="L97" s="504"/>
      <c r="M97" s="505"/>
      <c r="N97" s="256"/>
      <c r="O97" s="256"/>
      <c r="P97" s="256"/>
      <c r="Q97" s="256"/>
      <c r="R97" s="256"/>
      <c r="S97" s="256"/>
      <c r="T97" s="256"/>
      <c r="U97" s="256"/>
      <c r="V97" s="256"/>
      <c r="W97" s="256"/>
    </row>
    <row r="98" spans="1:23">
      <c r="A98" s="342"/>
      <c r="B98" s="306" t="s">
        <v>156</v>
      </c>
      <c r="C98" s="104" t="s">
        <v>228</v>
      </c>
      <c r="D98" s="150">
        <f>SUM(D107,D116)</f>
        <v>121.01032626409491</v>
      </c>
      <c r="E98" s="150">
        <f t="shared" si="14"/>
        <v>33.886054388111816</v>
      </c>
      <c r="F98" s="150">
        <f t="shared" si="14"/>
        <v>-40.266403456738956</v>
      </c>
      <c r="G98" s="150">
        <f t="shared" si="14"/>
        <v>-6.8391391128507379</v>
      </c>
      <c r="H98" s="150">
        <f t="shared" si="14"/>
        <v>2.092014252239693</v>
      </c>
      <c r="I98" s="306"/>
      <c r="J98" s="150">
        <f t="shared" ref="J98:K100" si="15">SUM(J107,J116)</f>
        <v>121.01032626409491</v>
      </c>
      <c r="K98" s="150">
        <f t="shared" si="15"/>
        <v>109.88285233485715</v>
      </c>
      <c r="L98" s="504"/>
      <c r="M98" s="505"/>
      <c r="N98" s="256"/>
      <c r="O98" s="256"/>
      <c r="P98" s="256"/>
      <c r="Q98" s="256"/>
      <c r="R98" s="256"/>
      <c r="S98" s="256"/>
      <c r="T98" s="256"/>
      <c r="U98" s="256"/>
      <c r="V98" s="256"/>
      <c r="W98" s="256"/>
    </row>
    <row r="99" spans="1:23">
      <c r="A99" s="342"/>
      <c r="B99" s="308" t="s">
        <v>157</v>
      </c>
      <c r="C99" s="104" t="s">
        <v>228</v>
      </c>
      <c r="D99" s="337">
        <f>SUM(D108,D117)</f>
        <v>-151.0887811693776</v>
      </c>
      <c r="E99" s="337">
        <f t="shared" si="14"/>
        <v>-63.444733900287815</v>
      </c>
      <c r="F99" s="337">
        <f t="shared" si="14"/>
        <v>36.45248103474276</v>
      </c>
      <c r="G99" s="337">
        <f t="shared" si="14"/>
        <v>31.839967263772742</v>
      </c>
      <c r="H99" s="337">
        <f t="shared" si="14"/>
        <v>36.376430566367418</v>
      </c>
      <c r="I99" s="308"/>
      <c r="J99" s="337">
        <f t="shared" si="15"/>
        <v>-151.0887811693776</v>
      </c>
      <c r="K99" s="337">
        <f t="shared" si="15"/>
        <v>-109.8646362047825</v>
      </c>
      <c r="L99" s="504"/>
      <c r="M99" s="505"/>
      <c r="N99" s="256"/>
      <c r="O99" s="256"/>
      <c r="P99" s="256"/>
      <c r="Q99" s="256"/>
      <c r="R99" s="256"/>
      <c r="S99" s="256"/>
      <c r="T99" s="256"/>
      <c r="U99" s="256"/>
      <c r="V99" s="256"/>
      <c r="W99" s="256"/>
    </row>
    <row r="100" spans="1:23">
      <c r="A100" s="342"/>
      <c r="B100" s="306" t="s">
        <v>158</v>
      </c>
      <c r="C100" s="104" t="s">
        <v>228</v>
      </c>
      <c r="D100" s="150">
        <f>SUM(D109,D118)</f>
        <v>-30.078454905282676</v>
      </c>
      <c r="E100" s="150">
        <f t="shared" si="14"/>
        <v>-29.558679512175999</v>
      </c>
      <c r="F100" s="150">
        <f t="shared" si="14"/>
        <v>-3.8139224219961996</v>
      </c>
      <c r="G100" s="150">
        <f t="shared" si="14"/>
        <v>25.000828150922004</v>
      </c>
      <c r="H100" s="150">
        <f t="shared" si="14"/>
        <v>38.468444818607111</v>
      </c>
      <c r="I100" s="306"/>
      <c r="J100" s="150">
        <f t="shared" si="15"/>
        <v>-30.078454905282676</v>
      </c>
      <c r="K100" s="150">
        <f t="shared" si="15"/>
        <v>1.8216130074641512E-2</v>
      </c>
      <c r="L100" s="506"/>
      <c r="M100" s="505"/>
      <c r="N100" s="256"/>
      <c r="O100" s="256"/>
      <c r="P100" s="256"/>
      <c r="Q100" s="256"/>
      <c r="R100" s="256"/>
      <c r="S100" s="256"/>
      <c r="T100" s="256"/>
      <c r="U100" s="256"/>
      <c r="V100" s="256"/>
      <c r="W100" s="256"/>
    </row>
    <row r="101" spans="1:23">
      <c r="A101" s="342"/>
      <c r="B101" s="306" t="s">
        <v>159</v>
      </c>
      <c r="C101" s="314" t="s">
        <v>163</v>
      </c>
      <c r="D101" s="151">
        <f>D100/D97</f>
        <v>-5.6341882885754223E-2</v>
      </c>
      <c r="E101" s="151">
        <f t="shared" ref="E101:H101" si="16">E100/E97</f>
        <v>-5.1012770611522519E-2</v>
      </c>
      <c r="F101" s="151">
        <f t="shared" si="16"/>
        <v>-6.993338080815972E-3</v>
      </c>
      <c r="G101" s="151">
        <f t="shared" si="16"/>
        <v>4.2756778592990458E-2</v>
      </c>
      <c r="H101" s="151">
        <f t="shared" si="16"/>
        <v>6.5399844664171314E-2</v>
      </c>
      <c r="J101" s="151">
        <f>J100/J97</f>
        <v>-5.6341882885754223E-2</v>
      </c>
      <c r="K101" s="151">
        <f>K100/K97</f>
        <v>6.433194567530052E-6</v>
      </c>
      <c r="L101" s="506"/>
      <c r="M101" s="505"/>
      <c r="N101" s="256"/>
      <c r="O101" s="256"/>
      <c r="P101" s="256"/>
      <c r="Q101" s="256"/>
      <c r="R101" s="256"/>
      <c r="S101" s="256"/>
      <c r="T101" s="256"/>
      <c r="U101" s="256"/>
      <c r="V101" s="256"/>
      <c r="W101" s="256"/>
    </row>
    <row r="103" spans="1:23">
      <c r="B103" s="306" t="s">
        <v>239</v>
      </c>
      <c r="D103" s="307" t="str">
        <f>D94</f>
        <v>Actuals</v>
      </c>
      <c r="E103" s="307" t="str">
        <f t="shared" ref="E103:K104" si="17">E94</f>
        <v>Forecast</v>
      </c>
      <c r="F103" s="307" t="str">
        <f t="shared" si="17"/>
        <v>Forecast</v>
      </c>
      <c r="G103" s="307" t="str">
        <f t="shared" si="17"/>
        <v>Forecast</v>
      </c>
      <c r="H103" s="307" t="str">
        <f t="shared" si="17"/>
        <v>Forecast</v>
      </c>
      <c r="I103" s="308"/>
    </row>
    <row r="104" spans="1:23" ht="22.8">
      <c r="B104" s="308"/>
      <c r="D104" s="309">
        <f>D95</f>
        <v>2024</v>
      </c>
      <c r="E104" s="309">
        <f t="shared" si="17"/>
        <v>2025</v>
      </c>
      <c r="F104" s="309">
        <f t="shared" si="17"/>
        <v>2026</v>
      </c>
      <c r="G104" s="309">
        <f t="shared" si="17"/>
        <v>2027</v>
      </c>
      <c r="H104" s="309">
        <f t="shared" si="17"/>
        <v>2028</v>
      </c>
      <c r="I104" s="308"/>
      <c r="J104" s="310" t="str">
        <f t="shared" si="17"/>
        <v>Cumulative to 2024</v>
      </c>
      <c r="K104" s="310" t="str">
        <f t="shared" si="17"/>
        <v>RIIO-2 period</v>
      </c>
    </row>
    <row r="105" spans="1:23">
      <c r="B105" s="308" t="s">
        <v>154</v>
      </c>
      <c r="C105" s="104" t="s">
        <v>228</v>
      </c>
      <c r="D105" s="326">
        <v>164.60998225849306</v>
      </c>
      <c r="E105" s="326">
        <v>233.44319256055587</v>
      </c>
      <c r="F105" s="326">
        <v>251.29233148555477</v>
      </c>
      <c r="G105" s="326">
        <v>260.95115708742026</v>
      </c>
      <c r="H105" s="326">
        <v>249.18682862001256</v>
      </c>
      <c r="I105" s="308"/>
      <c r="J105" s="326">
        <v>164.60998225849306</v>
      </c>
      <c r="K105" s="326">
        <v>1159.4834920120365</v>
      </c>
    </row>
    <row r="106" spans="1:23" ht="22.8">
      <c r="B106" s="312" t="s">
        <v>155</v>
      </c>
      <c r="C106" s="104" t="s">
        <v>228</v>
      </c>
      <c r="D106" s="326">
        <v>224.84075292605772</v>
      </c>
      <c r="E106" s="326">
        <v>244.58381392076535</v>
      </c>
      <c r="F106" s="326">
        <v>240.96919211114468</v>
      </c>
      <c r="G106" s="326">
        <v>253.02991791052773</v>
      </c>
      <c r="H106" s="326">
        <v>254.33251076286595</v>
      </c>
      <c r="I106" s="308"/>
      <c r="J106" s="326">
        <v>224.84075292605772</v>
      </c>
      <c r="K106" s="326">
        <v>1217.7561876313614</v>
      </c>
    </row>
    <row r="107" spans="1:23">
      <c r="B107" s="306" t="s">
        <v>156</v>
      </c>
      <c r="C107" s="104" t="s">
        <v>228</v>
      </c>
      <c r="D107" s="326">
        <v>60.230770667564663</v>
      </c>
      <c r="E107" s="326">
        <v>11.140621360209458</v>
      </c>
      <c r="F107" s="326">
        <v>-10.323139374410076</v>
      </c>
      <c r="G107" s="326">
        <v>-7.921239176892513</v>
      </c>
      <c r="H107" s="326">
        <v>5.1456821428533885</v>
      </c>
      <c r="I107" s="308"/>
      <c r="J107" s="326">
        <v>60.230770667564663</v>
      </c>
      <c r="K107" s="326">
        <v>58.272695619324907</v>
      </c>
    </row>
    <row r="108" spans="1:23">
      <c r="B108" s="308" t="s">
        <v>157</v>
      </c>
      <c r="C108" s="104" t="s">
        <v>228</v>
      </c>
      <c r="D108" s="326">
        <v>-74.116548386070974</v>
      </c>
      <c r="E108" s="326">
        <v>-24.267565995778259</v>
      </c>
      <c r="F108" s="326">
        <v>15.918648685232132</v>
      </c>
      <c r="G108" s="326">
        <v>22.629409328011292</v>
      </c>
      <c r="H108" s="326">
        <v>13.521635320186961</v>
      </c>
      <c r="I108" s="308"/>
      <c r="J108" s="326">
        <v>-74.116548386070974</v>
      </c>
      <c r="K108" s="326">
        <v>-46.314421048418843</v>
      </c>
    </row>
    <row r="109" spans="1:23">
      <c r="B109" s="306" t="s">
        <v>158</v>
      </c>
      <c r="C109" s="104" t="s">
        <v>228</v>
      </c>
      <c r="D109" s="303">
        <f>D107+D108</f>
        <v>-13.885777718506311</v>
      </c>
      <c r="E109" s="303">
        <f>E107+E108</f>
        <v>-13.126944635568801</v>
      </c>
      <c r="F109" s="303">
        <f t="shared" ref="F109" si="18">F107+F108</f>
        <v>5.5955093108220559</v>
      </c>
      <c r="G109" s="303">
        <f>G107+G108</f>
        <v>14.708170151118779</v>
      </c>
      <c r="H109" s="303">
        <f t="shared" ref="H109" si="19">H107+H108</f>
        <v>18.667317463040348</v>
      </c>
      <c r="I109" s="308"/>
      <c r="J109" s="303">
        <f>J107+J108</f>
        <v>-13.885777718506311</v>
      </c>
      <c r="K109" s="303">
        <f>K107+K108</f>
        <v>11.958274570906063</v>
      </c>
    </row>
    <row r="110" spans="1:23">
      <c r="B110" s="306" t="s">
        <v>159</v>
      </c>
      <c r="C110" s="314" t="s">
        <v>163</v>
      </c>
      <c r="D110" s="151">
        <f>D109/D106</f>
        <v>-6.1758277971399871E-2</v>
      </c>
      <c r="E110" s="151">
        <f>E109/E106</f>
        <v>-5.367053700381566E-2</v>
      </c>
      <c r="F110" s="151">
        <f t="shared" ref="F110:H110" si="20">F109/F106</f>
        <v>2.3220849361694263E-2</v>
      </c>
      <c r="G110" s="151">
        <f t="shared" si="20"/>
        <v>5.8128186076081487E-2</v>
      </c>
      <c r="H110" s="151">
        <f t="shared" si="20"/>
        <v>7.3397291628380712E-2</v>
      </c>
      <c r="J110" s="151">
        <f>J109/J106</f>
        <v>-6.1758277971399871E-2</v>
      </c>
      <c r="K110" s="151">
        <f>K109/K106</f>
        <v>9.8199251150313735E-3</v>
      </c>
    </row>
    <row r="112" spans="1:23">
      <c r="B112" s="306" t="s">
        <v>240</v>
      </c>
      <c r="D112" s="307" t="str">
        <f>D103</f>
        <v>Actuals</v>
      </c>
      <c r="E112" s="307" t="str">
        <f t="shared" ref="E112:H112" si="21">E103</f>
        <v>Forecast</v>
      </c>
      <c r="F112" s="307" t="str">
        <f t="shared" si="21"/>
        <v>Forecast</v>
      </c>
      <c r="G112" s="307" t="str">
        <f t="shared" si="21"/>
        <v>Forecast</v>
      </c>
      <c r="H112" s="307" t="str">
        <f t="shared" si="21"/>
        <v>Forecast</v>
      </c>
      <c r="I112" s="308"/>
    </row>
    <row r="113" spans="2:11" ht="22.8">
      <c r="B113" s="308"/>
      <c r="D113" s="309">
        <f>D104</f>
        <v>2024</v>
      </c>
      <c r="E113" s="309">
        <f t="shared" ref="E113:H113" si="22">E104</f>
        <v>2025</v>
      </c>
      <c r="F113" s="309">
        <f t="shared" si="22"/>
        <v>2026</v>
      </c>
      <c r="G113" s="309">
        <f t="shared" si="22"/>
        <v>2027</v>
      </c>
      <c r="H113" s="309">
        <f t="shared" si="22"/>
        <v>2028</v>
      </c>
      <c r="I113" s="308"/>
      <c r="J113" s="310" t="str">
        <f t="shared" ref="J113:K113" si="23">J104</f>
        <v>Cumulative to 2024</v>
      </c>
      <c r="K113" s="310" t="str">
        <f t="shared" si="23"/>
        <v>RIIO-2 period</v>
      </c>
    </row>
    <row r="114" spans="2:11">
      <c r="B114" s="308" t="s">
        <v>154</v>
      </c>
      <c r="C114" s="104" t="s">
        <v>228</v>
      </c>
      <c r="D114" s="326">
        <v>248.23573896296512</v>
      </c>
      <c r="E114" s="326">
        <v>312.10761087805508</v>
      </c>
      <c r="F114" s="326">
        <v>334.33915770306072</v>
      </c>
      <c r="G114" s="326">
        <v>330.60996000486222</v>
      </c>
      <c r="H114" s="326">
        <v>336.92507437163215</v>
      </c>
      <c r="I114" s="308"/>
      <c r="J114" s="326">
        <v>248.23573896296512</v>
      </c>
      <c r="K114" s="326">
        <v>1562.2175419205751</v>
      </c>
    </row>
    <row r="115" spans="2:11" ht="22.8">
      <c r="B115" s="312" t="s">
        <v>155</v>
      </c>
      <c r="C115" s="104" t="s">
        <v>228</v>
      </c>
      <c r="D115" s="326">
        <v>309.01529455949537</v>
      </c>
      <c r="E115" s="326">
        <v>334.85304390595746</v>
      </c>
      <c r="F115" s="326">
        <v>304.39589362073184</v>
      </c>
      <c r="G115" s="326">
        <v>331.69206006890397</v>
      </c>
      <c r="H115" s="326">
        <v>333.87140648101843</v>
      </c>
      <c r="I115" s="308"/>
      <c r="J115" s="326">
        <v>309.01529455949537</v>
      </c>
      <c r="K115" s="326">
        <v>1613.8276986361072</v>
      </c>
    </row>
    <row r="116" spans="2:11">
      <c r="B116" s="306" t="s">
        <v>156</v>
      </c>
      <c r="C116" s="104" t="s">
        <v>228</v>
      </c>
      <c r="D116" s="326">
        <v>60.779555596530258</v>
      </c>
      <c r="E116" s="326">
        <v>22.745433027902362</v>
      </c>
      <c r="F116" s="326">
        <v>-29.943264082328881</v>
      </c>
      <c r="G116" s="326">
        <v>1.0821000640417751</v>
      </c>
      <c r="H116" s="326">
        <v>-3.0536678906136956</v>
      </c>
      <c r="I116" s="308"/>
      <c r="J116" s="326">
        <v>60.779555596530258</v>
      </c>
      <c r="K116" s="326">
        <v>51.610156715532241</v>
      </c>
    </row>
    <row r="117" spans="2:11">
      <c r="B117" s="308" t="s">
        <v>157</v>
      </c>
      <c r="C117" s="104" t="s">
        <v>228</v>
      </c>
      <c r="D117" s="326">
        <v>-76.972232783306623</v>
      </c>
      <c r="E117" s="326">
        <v>-39.17716790450956</v>
      </c>
      <c r="F117" s="326">
        <v>20.533832349510625</v>
      </c>
      <c r="G117" s="326">
        <v>9.2105579357614502</v>
      </c>
      <c r="H117" s="326">
        <v>22.854795246180458</v>
      </c>
      <c r="I117" s="308"/>
      <c r="J117" s="326">
        <v>-76.972232783306623</v>
      </c>
      <c r="K117" s="326">
        <v>-63.550215156363663</v>
      </c>
    </row>
    <row r="118" spans="2:11">
      <c r="B118" s="306" t="s">
        <v>158</v>
      </c>
      <c r="C118" s="104" t="s">
        <v>228</v>
      </c>
      <c r="D118" s="303">
        <f>D116+D117</f>
        <v>-16.192677186776365</v>
      </c>
      <c r="E118" s="303">
        <f>E116+E117</f>
        <v>-16.431734876607198</v>
      </c>
      <c r="F118" s="303">
        <f t="shared" ref="F118" si="24">F116+F117</f>
        <v>-9.4094317328182555</v>
      </c>
      <c r="G118" s="303">
        <f>G116+G117</f>
        <v>10.292657999803225</v>
      </c>
      <c r="H118" s="303">
        <f t="shared" ref="H118" si="25">H116+H117</f>
        <v>19.801127355566763</v>
      </c>
      <c r="I118" s="308"/>
      <c r="J118" s="303">
        <f>J116+J117</f>
        <v>-16.192677186776365</v>
      </c>
      <c r="K118" s="303">
        <f>K116+K117</f>
        <v>-11.940058440831422</v>
      </c>
    </row>
    <row r="119" spans="2:11">
      <c r="B119" s="306" t="s">
        <v>159</v>
      </c>
      <c r="C119" s="314" t="s">
        <v>163</v>
      </c>
      <c r="D119" s="151">
        <f>D118/D115</f>
        <v>-5.2400892356668623E-2</v>
      </c>
      <c r="E119" s="151">
        <f>E118/E115</f>
        <v>-4.9071481283061012E-2</v>
      </c>
      <c r="F119" s="151">
        <f t="shared" ref="F119:H119" si="26">F118/F115</f>
        <v>-3.0911822169789601E-2</v>
      </c>
      <c r="G119" s="151">
        <f t="shared" si="26"/>
        <v>3.1030763888846426E-2</v>
      </c>
      <c r="H119" s="151">
        <f t="shared" si="26"/>
        <v>5.9307646510581062E-2</v>
      </c>
      <c r="J119" s="151">
        <f>J118/J115</f>
        <v>-5.2400892356668623E-2</v>
      </c>
      <c r="K119" s="151">
        <f>K118/K115</f>
        <v>-7.3985955569620676E-3</v>
      </c>
    </row>
  </sheetData>
  <mergeCells count="117">
    <mergeCell ref="L6:M6"/>
    <mergeCell ref="L8:M8"/>
    <mergeCell ref="I9:J9"/>
    <mergeCell ref="L9:M9"/>
    <mergeCell ref="I10:J10"/>
    <mergeCell ref="L10:M10"/>
    <mergeCell ref="I6:J6"/>
    <mergeCell ref="I1:J1"/>
    <mergeCell ref="I2:J2"/>
    <mergeCell ref="I3:J3"/>
    <mergeCell ref="I4:J4"/>
    <mergeCell ref="L4:M4"/>
    <mergeCell ref="I5:J5"/>
    <mergeCell ref="L5:M5"/>
    <mergeCell ref="L17:M17"/>
    <mergeCell ref="L18:M18"/>
    <mergeCell ref="L19:M19"/>
    <mergeCell ref="L20:M20"/>
    <mergeCell ref="L21:M21"/>
    <mergeCell ref="L22:M22"/>
    <mergeCell ref="L11:M11"/>
    <mergeCell ref="L12:M12"/>
    <mergeCell ref="L13:M13"/>
    <mergeCell ref="L14:M14"/>
    <mergeCell ref="L15:M15"/>
    <mergeCell ref="L16:M16"/>
    <mergeCell ref="L29:M29"/>
    <mergeCell ref="L30:M30"/>
    <mergeCell ref="L31:M31"/>
    <mergeCell ref="L32:M32"/>
    <mergeCell ref="L33:M33"/>
    <mergeCell ref="L23:M23"/>
    <mergeCell ref="L24:M24"/>
    <mergeCell ref="L25:M25"/>
    <mergeCell ref="L26:M26"/>
    <mergeCell ref="L27:M27"/>
    <mergeCell ref="L28:M28"/>
    <mergeCell ref="I37:J37"/>
    <mergeCell ref="L37:M37"/>
    <mergeCell ref="L38:M38"/>
    <mergeCell ref="L39:M39"/>
    <mergeCell ref="L40:M40"/>
    <mergeCell ref="L41:M41"/>
    <mergeCell ref="I34:J34"/>
    <mergeCell ref="L34:M34"/>
    <mergeCell ref="I35:J35"/>
    <mergeCell ref="L35:M35"/>
    <mergeCell ref="I36:J36"/>
    <mergeCell ref="L36:M36"/>
    <mergeCell ref="L48:M48"/>
    <mergeCell ref="L49:M49"/>
    <mergeCell ref="L50:M50"/>
    <mergeCell ref="L51:M51"/>
    <mergeCell ref="L52:M52"/>
    <mergeCell ref="L53:M53"/>
    <mergeCell ref="L42:M42"/>
    <mergeCell ref="L43:M43"/>
    <mergeCell ref="L44:M44"/>
    <mergeCell ref="L45:M45"/>
    <mergeCell ref="L46:M46"/>
    <mergeCell ref="L47:M47"/>
    <mergeCell ref="L60:M60"/>
    <mergeCell ref="I61:J61"/>
    <mergeCell ref="L61:M61"/>
    <mergeCell ref="I62:J62"/>
    <mergeCell ref="L62:M62"/>
    <mergeCell ref="L54:M54"/>
    <mergeCell ref="L55:M55"/>
    <mergeCell ref="L56:M56"/>
    <mergeCell ref="L57:M57"/>
    <mergeCell ref="L58:M58"/>
    <mergeCell ref="L59:M59"/>
    <mergeCell ref="L67:M67"/>
    <mergeCell ref="L68:M68"/>
    <mergeCell ref="L69:M69"/>
    <mergeCell ref="L70:M70"/>
    <mergeCell ref="L71:M71"/>
    <mergeCell ref="L72:M72"/>
    <mergeCell ref="I63:J63"/>
    <mergeCell ref="L63:M63"/>
    <mergeCell ref="I64:J64"/>
    <mergeCell ref="L64:M64"/>
    <mergeCell ref="L65:M65"/>
    <mergeCell ref="L66:M66"/>
    <mergeCell ref="L79:M79"/>
    <mergeCell ref="L80:M80"/>
    <mergeCell ref="L81:M81"/>
    <mergeCell ref="L82:M82"/>
    <mergeCell ref="L83:M83"/>
    <mergeCell ref="L84:M84"/>
    <mergeCell ref="L73:M73"/>
    <mergeCell ref="L74:M74"/>
    <mergeCell ref="L75:M75"/>
    <mergeCell ref="L76:M76"/>
    <mergeCell ref="L77:M77"/>
    <mergeCell ref="L78:M78"/>
    <mergeCell ref="I90:J90"/>
    <mergeCell ref="L90:M90"/>
    <mergeCell ref="I91:J91"/>
    <mergeCell ref="L91:M91"/>
    <mergeCell ref="I92:J92"/>
    <mergeCell ref="L92:M92"/>
    <mergeCell ref="L85:M85"/>
    <mergeCell ref="L86:M86"/>
    <mergeCell ref="L87:M87"/>
    <mergeCell ref="L88:M88"/>
    <mergeCell ref="L89:M89"/>
    <mergeCell ref="L99:M99"/>
    <mergeCell ref="L100:M100"/>
    <mergeCell ref="L101:M101"/>
    <mergeCell ref="L96:M96"/>
    <mergeCell ref="L97:M97"/>
    <mergeCell ref="L98:M98"/>
    <mergeCell ref="I93:J93"/>
    <mergeCell ref="L93:M93"/>
    <mergeCell ref="L94:M94"/>
    <mergeCell ref="L95:M95"/>
  </mergeCells>
  <conditionalFormatting sqref="D94:H95 J95">
    <cfRule type="expression" dxfId="17" priority="7">
      <formula>AND(D$7="Actuals",E$7="Forecast")</formula>
    </cfRule>
  </conditionalFormatting>
  <conditionalFormatting sqref="D103:H104 J104:K104">
    <cfRule type="expression" dxfId="16" priority="2">
      <formula>AND(D$6="Actuals",E$6="Forecast")</formula>
    </cfRule>
  </conditionalFormatting>
  <conditionalFormatting sqref="D112:H113 J113:K113">
    <cfRule type="expression" dxfId="15" priority="1">
      <formula>AND(D$6="Actuals",E$6="Forecast")</formula>
    </cfRule>
  </conditionalFormatting>
  <conditionalFormatting sqref="K95">
    <cfRule type="expression" dxfId="14" priority="8">
      <formula>AND(K$7="Actuals",L$6="Forecast")</formula>
    </cfRule>
  </conditionalFormatting>
  <pageMargins left="0.7" right="0.7" top="0.75" bottom="0.75" header="0.3" footer="0.3"/>
  <ignoredErrors>
    <ignoredError sqref="J29:K29"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4C18-4A77-4A44-A820-A2A0D8A6334D}">
  <sheetPr>
    <tabColor theme="8" tint="0.39997558519241921"/>
  </sheetPr>
  <dimension ref="A1:W119"/>
  <sheetViews>
    <sheetView zoomScale="80" zoomScaleNormal="80" workbookViewId="0"/>
  </sheetViews>
  <sheetFormatPr defaultColWidth="9.26953125" defaultRowHeight="11.4"/>
  <cols>
    <col min="1" max="1" width="5.90625" style="314" customWidth="1"/>
    <col min="2" max="2" width="51.08984375" style="104" bestFit="1" customWidth="1"/>
    <col min="3" max="3" width="9.90625" style="104" customWidth="1"/>
    <col min="4" max="8" width="8.08984375" style="104" customWidth="1"/>
    <col min="9" max="9" width="2.08984375" style="104" customWidth="1"/>
    <col min="10" max="10" width="9" style="104" customWidth="1"/>
    <col min="11" max="11" width="9.6328125" style="104" customWidth="1"/>
    <col min="12" max="12" width="1.08984375" style="104" bestFit="1" customWidth="1"/>
    <col min="13" max="16384" width="9.26953125" style="104"/>
  </cols>
  <sheetData>
    <row r="1" spans="1:23" ht="15.6">
      <c r="A1" s="419" t="s">
        <v>162</v>
      </c>
      <c r="B1" s="330"/>
      <c r="C1" s="331"/>
      <c r="D1" s="331"/>
      <c r="E1" s="331"/>
      <c r="F1" s="331"/>
      <c r="G1" s="332"/>
      <c r="H1" s="332"/>
      <c r="I1" s="522"/>
      <c r="J1" s="522"/>
      <c r="K1" s="254"/>
      <c r="L1" s="255" t="s">
        <v>30</v>
      </c>
      <c r="M1" s="256"/>
      <c r="N1" s="256"/>
      <c r="O1" s="256"/>
      <c r="P1" s="256"/>
      <c r="Q1" s="256"/>
      <c r="R1" s="256"/>
      <c r="S1" s="256"/>
      <c r="T1" s="256"/>
      <c r="U1" s="256"/>
      <c r="V1" s="256"/>
      <c r="W1" s="256"/>
    </row>
    <row r="2" spans="1:23" ht="15.6">
      <c r="A2" s="425" t="s">
        <v>25</v>
      </c>
      <c r="B2" s="333"/>
      <c r="C2" s="334"/>
      <c r="D2" s="334"/>
      <c r="E2" s="334"/>
      <c r="F2" s="334"/>
      <c r="G2" s="335"/>
      <c r="H2" s="335"/>
      <c r="I2" s="523"/>
      <c r="J2" s="523"/>
      <c r="K2" s="260"/>
      <c r="L2" s="261"/>
      <c r="M2" s="256"/>
      <c r="N2" s="256"/>
      <c r="O2" s="256"/>
      <c r="P2" s="256"/>
      <c r="Q2" s="256"/>
      <c r="R2" s="256"/>
      <c r="S2" s="256"/>
      <c r="T2" s="256"/>
      <c r="U2" s="256"/>
      <c r="V2" s="256"/>
      <c r="W2" s="256"/>
    </row>
    <row r="3" spans="1:23" ht="15.6">
      <c r="A3" s="430">
        <v>2024</v>
      </c>
      <c r="B3" s="335"/>
      <c r="C3" s="335"/>
      <c r="D3" s="335"/>
      <c r="E3" s="335"/>
      <c r="F3" s="335"/>
      <c r="G3" s="335"/>
      <c r="H3" s="336"/>
      <c r="I3" s="524"/>
      <c r="J3" s="524"/>
      <c r="K3" s="263"/>
      <c r="L3" s="264"/>
      <c r="M3" s="256"/>
      <c r="N3" s="256"/>
      <c r="O3" s="256"/>
      <c r="P3" s="256"/>
      <c r="Q3" s="256"/>
      <c r="R3" s="256"/>
      <c r="S3" s="256"/>
      <c r="T3" s="256"/>
      <c r="U3" s="256"/>
      <c r="V3" s="256"/>
      <c r="W3" s="256"/>
    </row>
    <row r="4" spans="1:23">
      <c r="A4" s="342"/>
      <c r="B4" s="265"/>
      <c r="C4" s="256"/>
      <c r="D4" s="256"/>
      <c r="E4" s="256"/>
      <c r="F4" s="256"/>
      <c r="G4" s="256"/>
      <c r="H4" s="256"/>
      <c r="I4" s="525"/>
      <c r="J4" s="525"/>
      <c r="K4" s="256"/>
      <c r="L4" s="505"/>
      <c r="M4" s="505"/>
      <c r="N4" s="256"/>
      <c r="O4" s="256"/>
      <c r="P4" s="256"/>
      <c r="Q4" s="256"/>
      <c r="R4" s="256"/>
      <c r="S4" s="256"/>
      <c r="T4" s="256"/>
      <c r="U4" s="256"/>
      <c r="V4" s="256"/>
      <c r="W4" s="256"/>
    </row>
    <row r="5" spans="1:23">
      <c r="A5" s="342"/>
      <c r="B5" s="265"/>
      <c r="C5" s="256"/>
      <c r="L5" s="505"/>
      <c r="M5" s="505"/>
      <c r="N5" s="256"/>
      <c r="O5" s="256"/>
      <c r="P5" s="256"/>
      <c r="Q5" s="256"/>
      <c r="R5" s="256"/>
      <c r="S5" s="256"/>
      <c r="T5" s="256"/>
      <c r="U5" s="256"/>
      <c r="V5" s="256"/>
      <c r="W5" s="256"/>
    </row>
    <row r="6" spans="1:23">
      <c r="A6" s="342"/>
      <c r="B6" s="265"/>
      <c r="C6" s="266"/>
      <c r="D6" s="267" t="s">
        <v>198</v>
      </c>
      <c r="E6" s="267" t="s">
        <v>211</v>
      </c>
      <c r="F6" s="267" t="s">
        <v>211</v>
      </c>
      <c r="G6" s="267" t="s">
        <v>211</v>
      </c>
      <c r="H6" s="267" t="s">
        <v>211</v>
      </c>
      <c r="I6" s="526"/>
      <c r="J6" s="527"/>
      <c r="K6" s="256"/>
      <c r="L6" s="504"/>
      <c r="M6" s="505"/>
      <c r="N6" s="256"/>
      <c r="O6" s="256"/>
      <c r="P6" s="256"/>
      <c r="Q6" s="256"/>
      <c r="R6" s="256"/>
      <c r="S6" s="256"/>
      <c r="T6" s="256"/>
      <c r="U6" s="256"/>
      <c r="V6" s="256"/>
      <c r="W6" s="256"/>
    </row>
    <row r="7" spans="1:23" ht="22.8">
      <c r="A7" s="342"/>
      <c r="B7" s="265"/>
      <c r="C7" s="266"/>
      <c r="D7" s="269">
        <v>2024</v>
      </c>
      <c r="E7" s="269">
        <v>2025</v>
      </c>
      <c r="F7" s="269">
        <v>2026</v>
      </c>
      <c r="G7" s="269">
        <v>2027</v>
      </c>
      <c r="H7" s="269">
        <v>2028</v>
      </c>
      <c r="I7" s="270"/>
      <c r="J7" s="271" t="s">
        <v>58</v>
      </c>
      <c r="K7" s="272" t="s">
        <v>59</v>
      </c>
      <c r="L7" s="266"/>
      <c r="M7" s="256"/>
      <c r="N7" s="256"/>
      <c r="O7" s="256"/>
      <c r="P7" s="256"/>
      <c r="Q7" s="256"/>
      <c r="R7" s="256"/>
      <c r="S7" s="256"/>
      <c r="T7" s="256"/>
      <c r="U7" s="256"/>
      <c r="V7" s="256"/>
      <c r="W7" s="256"/>
    </row>
    <row r="8" spans="1:23">
      <c r="A8" s="342"/>
      <c r="B8" s="265"/>
      <c r="C8" s="265"/>
      <c r="D8" s="265"/>
      <c r="E8" s="265"/>
      <c r="F8" s="265"/>
      <c r="G8" s="265"/>
      <c r="H8" s="265"/>
      <c r="I8" s="265"/>
      <c r="J8" s="265"/>
      <c r="K8" s="265"/>
      <c r="L8" s="507"/>
      <c r="M8" s="507"/>
      <c r="N8" s="265"/>
      <c r="O8" s="265"/>
      <c r="P8" s="265"/>
      <c r="Q8" s="265"/>
      <c r="R8" s="265"/>
      <c r="S8" s="265"/>
      <c r="T8" s="265"/>
      <c r="U8" s="256"/>
      <c r="V8" s="256"/>
      <c r="W8" s="256"/>
    </row>
    <row r="9" spans="1:23">
      <c r="A9" s="342"/>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42"/>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42"/>
      <c r="B11" s="276" t="s">
        <v>107</v>
      </c>
      <c r="C11" s="277" t="s">
        <v>163</v>
      </c>
      <c r="D11" s="316">
        <f t="shared" ref="D11:H26" si="0">D65/D$90</f>
        <v>5.2833944000000008E-2</v>
      </c>
      <c r="E11" s="316">
        <f t="shared" si="0"/>
        <v>5.5875457999999996E-2</v>
      </c>
      <c r="F11" s="316">
        <f t="shared" si="0"/>
        <v>5.5175427000000013E-2</v>
      </c>
      <c r="G11" s="316">
        <f t="shared" si="0"/>
        <v>5.5320261000000003E-2</v>
      </c>
      <c r="H11" s="316">
        <f t="shared" si="0"/>
        <v>5.5489234000000012E-2</v>
      </c>
      <c r="I11" s="278"/>
      <c r="J11" s="317">
        <f>AVERAGE(D65:INDEX(D65:H65,0,MATCH(Data!$B$3,$D$7:$H$7,0)))/AVERAGE($D$90:INDEX($D$90:$H$90,0,MATCH(Data!$B$3,$D$7:$H$7,0)))</f>
        <v>5.2833944000000008E-2</v>
      </c>
      <c r="K11" s="317">
        <f t="shared" ref="K11:K28" si="1">AVERAGE(D65:H65)/AVERAGE($D$90:$H$90)</f>
        <v>5.4973852162677944E-2</v>
      </c>
      <c r="L11" s="504"/>
      <c r="M11" s="505"/>
      <c r="N11" s="256"/>
      <c r="O11" s="256"/>
      <c r="P11" s="256"/>
      <c r="Q11" s="256"/>
      <c r="R11" s="256"/>
      <c r="S11" s="256"/>
      <c r="T11" s="256"/>
      <c r="U11" s="256"/>
      <c r="V11" s="256"/>
      <c r="W11" s="256"/>
    </row>
    <row r="12" spans="1:23">
      <c r="A12" s="342"/>
      <c r="B12" s="276" t="s">
        <v>108</v>
      </c>
      <c r="C12" s="277" t="s">
        <v>163</v>
      </c>
      <c r="D12" s="316">
        <f t="shared" si="0"/>
        <v>0</v>
      </c>
      <c r="E12" s="316">
        <f t="shared" si="0"/>
        <v>0</v>
      </c>
      <c r="F12" s="316">
        <f t="shared" si="0"/>
        <v>0</v>
      </c>
      <c r="G12" s="316">
        <f t="shared" si="0"/>
        <v>0</v>
      </c>
      <c r="H12" s="316">
        <f t="shared" si="0"/>
        <v>0</v>
      </c>
      <c r="I12" s="278"/>
      <c r="J12" s="317">
        <f>AVERAGE(D66:INDEX(D66:H66,0,MATCH(Data!$B$3,$D$7:$H$7,0)))/AVERAGE($D$90:INDEX($D$90:$H$90,0,MATCH(Data!$B$3,$D$7:$H$7,0)))</f>
        <v>0</v>
      </c>
      <c r="K12" s="317">
        <f t="shared" si="1"/>
        <v>0</v>
      </c>
      <c r="L12" s="504"/>
      <c r="M12" s="505"/>
      <c r="N12" s="256"/>
      <c r="O12" s="256"/>
      <c r="P12" s="256"/>
      <c r="Q12" s="256"/>
      <c r="R12" s="256"/>
      <c r="S12" s="256"/>
      <c r="T12" s="256"/>
      <c r="U12" s="256"/>
      <c r="V12" s="256"/>
      <c r="W12" s="256"/>
    </row>
    <row r="13" spans="1:23">
      <c r="A13" s="342" t="s">
        <v>212</v>
      </c>
      <c r="B13" s="276" t="s">
        <v>109</v>
      </c>
      <c r="C13" s="277" t="s">
        <v>163</v>
      </c>
      <c r="D13" s="316">
        <f t="shared" si="0"/>
        <v>0</v>
      </c>
      <c r="E13" s="316">
        <f t="shared" si="0"/>
        <v>0</v>
      </c>
      <c r="F13" s="316">
        <f t="shared" si="0"/>
        <v>0</v>
      </c>
      <c r="G13" s="316">
        <f t="shared" si="0"/>
        <v>0</v>
      </c>
      <c r="H13" s="316">
        <f t="shared" si="0"/>
        <v>0</v>
      </c>
      <c r="I13" s="278"/>
      <c r="J13" s="317">
        <f>AVERAGE(D67:INDEX(D67:H67,0,MATCH(Data!$B$3,$D$7:$H$7,0)))/AVERAGE($D$90:INDEX($D$90:$H$90,0,MATCH(Data!$B$3,$D$7:$H$7,0)))</f>
        <v>0</v>
      </c>
      <c r="K13" s="317">
        <f t="shared" si="1"/>
        <v>0</v>
      </c>
      <c r="L13" s="504"/>
      <c r="M13" s="505"/>
      <c r="N13" s="256"/>
      <c r="O13" s="256"/>
      <c r="P13" s="256"/>
      <c r="Q13" s="256"/>
      <c r="R13" s="256"/>
      <c r="S13" s="256"/>
      <c r="T13" s="256"/>
      <c r="U13" s="256"/>
      <c r="V13" s="256"/>
      <c r="W13" s="256"/>
    </row>
    <row r="14" spans="1:23">
      <c r="A14" s="342" t="s">
        <v>213</v>
      </c>
      <c r="B14" s="276" t="s">
        <v>110</v>
      </c>
      <c r="C14" s="277" t="s">
        <v>163</v>
      </c>
      <c r="D14" s="316">
        <f t="shared" si="0"/>
        <v>3.291146161147099E-4</v>
      </c>
      <c r="E14" s="316">
        <f t="shared" si="0"/>
        <v>3.3649347345521968E-4</v>
      </c>
      <c r="F14" s="316">
        <f t="shared" si="0"/>
        <v>3.2144796229178498E-4</v>
      </c>
      <c r="G14" s="316">
        <f t="shared" si="0"/>
        <v>3.0802596909180899E-4</v>
      </c>
      <c r="H14" s="316">
        <f t="shared" si="0"/>
        <v>2.9603652786493206E-4</v>
      </c>
      <c r="I14" s="278"/>
      <c r="J14" s="317">
        <f>AVERAGE(D68:INDEX(D68:H68,0,MATCH(Data!$B$3,$D$7:$H$7,0)))/AVERAGE($D$90:INDEX($D$90:$H$90,0,MATCH(Data!$B$3,$D$7:$H$7,0)))</f>
        <v>3.291146161147099E-4</v>
      </c>
      <c r="K14" s="317">
        <f t="shared" si="1"/>
        <v>3.1743372202542035E-4</v>
      </c>
      <c r="L14" s="504"/>
      <c r="M14" s="505"/>
      <c r="N14" s="256"/>
      <c r="O14" s="256"/>
      <c r="P14" s="256"/>
      <c r="Q14" s="256"/>
      <c r="R14" s="256"/>
      <c r="S14" s="256"/>
      <c r="T14" s="256"/>
      <c r="U14" s="256"/>
      <c r="V14" s="256"/>
      <c r="W14" s="256"/>
    </row>
    <row r="15" spans="1:23">
      <c r="A15" s="342" t="s">
        <v>214</v>
      </c>
      <c r="B15" s="276" t="s">
        <v>111</v>
      </c>
      <c r="C15" s="277" t="s">
        <v>163</v>
      </c>
      <c r="D15" s="316">
        <f t="shared" si="0"/>
        <v>9.8742270206171861E-4</v>
      </c>
      <c r="E15" s="316">
        <f t="shared" si="0"/>
        <v>1.9914961499745013E-3</v>
      </c>
      <c r="F15" s="316">
        <f t="shared" si="0"/>
        <v>2.6158702649662063E-3</v>
      </c>
      <c r="G15" s="316">
        <f t="shared" si="0"/>
        <v>3.1902756364611744E-3</v>
      </c>
      <c r="H15" s="316">
        <f t="shared" si="0"/>
        <v>3.6421625416487896E-3</v>
      </c>
      <c r="I15" s="278"/>
      <c r="J15" s="317">
        <f>AVERAGE(D69:INDEX(D69:H69,0,MATCH(Data!$B$3,$D$7:$H$7,0)))/AVERAGE($D$90:INDEX($D$90:$H$90,0,MATCH(Data!$B$3,$D$7:$H$7,0)))</f>
        <v>9.8742270206171861E-4</v>
      </c>
      <c r="K15" s="317">
        <f t="shared" si="1"/>
        <v>2.5375693961090131E-3</v>
      </c>
      <c r="L15" s="504"/>
      <c r="M15" s="505"/>
      <c r="N15" s="256"/>
      <c r="O15" s="256"/>
      <c r="P15" s="256"/>
      <c r="Q15" s="256"/>
      <c r="R15" s="256"/>
      <c r="S15" s="256"/>
      <c r="T15" s="256"/>
      <c r="U15" s="256"/>
      <c r="V15" s="256"/>
      <c r="W15" s="256"/>
    </row>
    <row r="16" spans="1:23">
      <c r="A16" s="342" t="s">
        <v>215</v>
      </c>
      <c r="B16" s="276" t="s">
        <v>112</v>
      </c>
      <c r="C16" s="277" t="s">
        <v>163</v>
      </c>
      <c r="D16" s="316">
        <f t="shared" si="0"/>
        <v>1.6442008066123565E-3</v>
      </c>
      <c r="E16" s="316">
        <f t="shared" si="0"/>
        <v>1.4763518561698697E-3</v>
      </c>
      <c r="F16" s="316">
        <f t="shared" si="0"/>
        <v>1.4098585942168762E-3</v>
      </c>
      <c r="G16" s="316">
        <f t="shared" si="0"/>
        <v>1.3529903435597296E-3</v>
      </c>
      <c r="H16" s="316">
        <f t="shared" si="0"/>
        <v>1.298207850671453E-3</v>
      </c>
      <c r="I16" s="278"/>
      <c r="J16" s="317">
        <f>AVERAGE(D70:INDEX(D70:H70,0,MATCH(Data!$B$3,$D$7:$H$7,0)))/AVERAGE($D$90:INDEX($D$90:$H$90,0,MATCH(Data!$B$3,$D$7:$H$7,0)))</f>
        <v>1.6442008066123565E-3</v>
      </c>
      <c r="K16" s="317">
        <f t="shared" si="1"/>
        <v>1.4298526576843945E-3</v>
      </c>
      <c r="L16" s="504"/>
      <c r="M16" s="505"/>
      <c r="N16" s="256"/>
      <c r="O16" s="256"/>
      <c r="P16" s="256"/>
      <c r="Q16" s="256"/>
      <c r="R16" s="256"/>
      <c r="S16" s="256"/>
      <c r="T16" s="256"/>
      <c r="U16" s="256"/>
      <c r="V16" s="256"/>
      <c r="W16" s="256"/>
    </row>
    <row r="17" spans="1:23">
      <c r="A17" s="342" t="s">
        <v>216</v>
      </c>
      <c r="B17" s="276" t="s">
        <v>113</v>
      </c>
      <c r="C17" s="277" t="s">
        <v>163</v>
      </c>
      <c r="D17" s="316">
        <f t="shared" si="0"/>
        <v>0</v>
      </c>
      <c r="E17" s="316">
        <f t="shared" si="0"/>
        <v>0</v>
      </c>
      <c r="F17" s="316">
        <f t="shared" si="0"/>
        <v>0</v>
      </c>
      <c r="G17" s="316">
        <f t="shared" si="0"/>
        <v>0</v>
      </c>
      <c r="H17" s="316">
        <f t="shared" si="0"/>
        <v>0</v>
      </c>
      <c r="I17" s="278"/>
      <c r="J17" s="317">
        <f>AVERAGE(D71:INDEX(D71:H71,0,MATCH(Data!$B$3,$D$7:$H$7,0)))/AVERAGE($D$90:INDEX($D$90:$H$90,0,MATCH(Data!$B$3,$D$7:$H$7,0)))</f>
        <v>0</v>
      </c>
      <c r="K17" s="317">
        <f t="shared" si="1"/>
        <v>0</v>
      </c>
      <c r="L17" s="504"/>
      <c r="M17" s="505"/>
      <c r="N17" s="256"/>
      <c r="O17" s="256"/>
      <c r="P17" s="256"/>
      <c r="Q17" s="256"/>
      <c r="R17" s="256"/>
      <c r="S17" s="256"/>
      <c r="T17" s="256"/>
      <c r="U17" s="256"/>
      <c r="V17" s="256"/>
      <c r="W17" s="256"/>
    </row>
    <row r="18" spans="1:23">
      <c r="A18" s="342" t="s">
        <v>217</v>
      </c>
      <c r="B18" s="276" t="s">
        <v>114</v>
      </c>
      <c r="C18" s="277" t="s">
        <v>163</v>
      </c>
      <c r="D18" s="316">
        <f t="shared" si="0"/>
        <v>0</v>
      </c>
      <c r="E18" s="316">
        <f t="shared" si="0"/>
        <v>1.920828749812388E-3</v>
      </c>
      <c r="F18" s="316">
        <f t="shared" si="0"/>
        <v>0</v>
      </c>
      <c r="G18" s="316">
        <f t="shared" si="0"/>
        <v>0</v>
      </c>
      <c r="H18" s="316">
        <f t="shared" si="0"/>
        <v>5.4222263119407836E-3</v>
      </c>
      <c r="I18" s="278"/>
      <c r="J18" s="317">
        <f>AVERAGE(D72:INDEX(D72:H72,0,MATCH(Data!$B$3,$D$7:$H$7,0)))/AVERAGE($D$90:INDEX($D$90:$H$90,0,MATCH(Data!$B$3,$D$7:$H$7,0)))</f>
        <v>0</v>
      </c>
      <c r="K18" s="317">
        <f t="shared" si="1"/>
        <v>1.5408728468529009E-3</v>
      </c>
      <c r="L18" s="504"/>
      <c r="M18" s="505"/>
      <c r="N18" s="256"/>
      <c r="O18" s="256"/>
      <c r="P18" s="256"/>
      <c r="Q18" s="256"/>
      <c r="R18" s="256"/>
      <c r="S18" s="256"/>
      <c r="T18" s="256"/>
      <c r="U18" s="256"/>
      <c r="V18" s="256"/>
      <c r="W18" s="256"/>
    </row>
    <row r="19" spans="1:23">
      <c r="A19" s="342" t="s">
        <v>218</v>
      </c>
      <c r="B19" s="276" t="s">
        <v>115</v>
      </c>
      <c r="C19" s="277" t="s">
        <v>163</v>
      </c>
      <c r="D19" s="316">
        <f t="shared" si="0"/>
        <v>3.6286011475450885E-4</v>
      </c>
      <c r="E19" s="316">
        <f t="shared" si="0"/>
        <v>0</v>
      </c>
      <c r="F19" s="316">
        <f t="shared" si="0"/>
        <v>0</v>
      </c>
      <c r="G19" s="316">
        <f t="shared" si="0"/>
        <v>0</v>
      </c>
      <c r="H19" s="316">
        <f t="shared" si="0"/>
        <v>0</v>
      </c>
      <c r="I19" s="278"/>
      <c r="J19" s="317">
        <f>AVERAGE(D73:INDEX(D73:H73,0,MATCH(Data!$B$3,$D$7:$H$7,0)))/AVERAGE($D$90:INDEX($D$90:$H$90,0,MATCH(Data!$B$3,$D$7:$H$7,0)))</f>
        <v>3.6286011475450885E-4</v>
      </c>
      <c r="K19" s="317">
        <f t="shared" si="1"/>
        <v>6.7125411243456964E-5</v>
      </c>
      <c r="L19" s="504"/>
      <c r="M19" s="505"/>
      <c r="N19" s="256"/>
      <c r="O19" s="256"/>
      <c r="P19" s="256"/>
      <c r="Q19" s="256"/>
      <c r="R19" s="256"/>
      <c r="S19" s="256"/>
      <c r="T19" s="256"/>
      <c r="U19" s="256"/>
      <c r="V19" s="256"/>
      <c r="W19" s="256"/>
    </row>
    <row r="20" spans="1:23">
      <c r="A20" s="342" t="s">
        <v>219</v>
      </c>
      <c r="B20" s="276" t="s">
        <v>118</v>
      </c>
      <c r="C20" s="277" t="s">
        <v>163</v>
      </c>
      <c r="D20" s="316">
        <f t="shared" si="0"/>
        <v>-8.9954836092303149E-6</v>
      </c>
      <c r="E20" s="316">
        <f t="shared" si="0"/>
        <v>-1.8550222730177586E-4</v>
      </c>
      <c r="F20" s="316">
        <f t="shared" si="0"/>
        <v>-4.3978387587515671E-4</v>
      </c>
      <c r="G20" s="316">
        <f t="shared" si="0"/>
        <v>0</v>
      </c>
      <c r="H20" s="316">
        <f t="shared" si="0"/>
        <v>0</v>
      </c>
      <c r="I20" s="278"/>
      <c r="J20" s="317">
        <f>AVERAGE(D74:INDEX(D74:H74,0,MATCH(Data!$B$3,$D$7:$H$7,0)))/AVERAGE($D$90:INDEX($D$90:$H$90,0,MATCH(Data!$B$3,$D$7:$H$7,0)))</f>
        <v>-8.9954836092303149E-6</v>
      </c>
      <c r="K20" s="317">
        <f t="shared" si="1"/>
        <v>-1.2477092958805103E-4</v>
      </c>
      <c r="L20" s="504"/>
      <c r="M20" s="505"/>
      <c r="N20" s="256"/>
      <c r="O20" s="256"/>
      <c r="P20" s="256"/>
      <c r="Q20" s="256"/>
      <c r="R20" s="256"/>
      <c r="S20" s="256"/>
      <c r="T20" s="256"/>
      <c r="U20" s="256"/>
      <c r="V20" s="256"/>
      <c r="W20" s="256"/>
    </row>
    <row r="21" spans="1:23">
      <c r="A21" s="342" t="s">
        <v>220</v>
      </c>
      <c r="B21" s="276" t="s">
        <v>119</v>
      </c>
      <c r="C21" s="277" t="s">
        <v>163</v>
      </c>
      <c r="D21" s="316">
        <f t="shared" si="0"/>
        <v>0</v>
      </c>
      <c r="E21" s="316">
        <f t="shared" si="0"/>
        <v>0</v>
      </c>
      <c r="F21" s="316">
        <f t="shared" si="0"/>
        <v>0</v>
      </c>
      <c r="G21" s="316">
        <f t="shared" si="0"/>
        <v>0</v>
      </c>
      <c r="H21" s="316">
        <f t="shared" si="0"/>
        <v>0</v>
      </c>
      <c r="I21" s="278"/>
      <c r="J21" s="317">
        <f>AVERAGE(D75:INDEX(D75:H75,0,MATCH(Data!$B$3,$D$7:$H$7,0)))/AVERAGE($D$90:INDEX($D$90:$H$90,0,MATCH(Data!$B$3,$D$7:$H$7,0)))</f>
        <v>0</v>
      </c>
      <c r="K21" s="317">
        <f t="shared" si="1"/>
        <v>0</v>
      </c>
      <c r="L21" s="504"/>
      <c r="M21" s="505"/>
      <c r="N21" s="256"/>
      <c r="O21" s="256"/>
      <c r="P21" s="256"/>
      <c r="Q21" s="256"/>
      <c r="R21" s="256"/>
      <c r="S21" s="256"/>
      <c r="T21" s="256"/>
      <c r="U21" s="256"/>
      <c r="V21" s="256"/>
      <c r="W21" s="256"/>
    </row>
    <row r="22" spans="1:23">
      <c r="A22" s="342" t="s">
        <v>221</v>
      </c>
      <c r="B22" s="276" t="s">
        <v>120</v>
      </c>
      <c r="C22" s="277" t="s">
        <v>163</v>
      </c>
      <c r="D22" s="316">
        <f t="shared" si="0"/>
        <v>-1.9177354774845314E-5</v>
      </c>
      <c r="E22" s="316">
        <f t="shared" si="0"/>
        <v>0</v>
      </c>
      <c r="F22" s="316">
        <f t="shared" si="0"/>
        <v>0</v>
      </c>
      <c r="G22" s="316">
        <f t="shared" si="0"/>
        <v>0</v>
      </c>
      <c r="H22" s="316">
        <f t="shared" si="0"/>
        <v>0</v>
      </c>
      <c r="I22" s="278"/>
      <c r="J22" s="317">
        <f>AVERAGE(D76:INDEX(D76:H76,0,MATCH(Data!$B$3,$D$7:$H$7,0)))/AVERAGE($D$90:INDEX($D$90:$H$90,0,MATCH(Data!$B$3,$D$7:$H$7,0)))</f>
        <v>-1.9177354774845314E-5</v>
      </c>
      <c r="K22" s="317">
        <f t="shared" si="1"/>
        <v>-3.547614558558117E-6</v>
      </c>
      <c r="L22" s="504"/>
      <c r="M22" s="505"/>
      <c r="N22" s="256"/>
      <c r="O22" s="256"/>
      <c r="P22" s="256"/>
      <c r="Q22" s="256"/>
      <c r="R22" s="256"/>
      <c r="S22" s="256"/>
      <c r="T22" s="256"/>
      <c r="U22" s="256"/>
      <c r="V22" s="256"/>
      <c r="W22" s="256"/>
    </row>
    <row r="23" spans="1:23">
      <c r="A23" s="342" t="s">
        <v>222</v>
      </c>
      <c r="B23" s="276">
        <v>0</v>
      </c>
      <c r="C23" s="277" t="s">
        <v>163</v>
      </c>
      <c r="D23" s="316">
        <f t="shared" si="0"/>
        <v>0</v>
      </c>
      <c r="E23" s="316">
        <f t="shared" si="0"/>
        <v>0</v>
      </c>
      <c r="F23" s="316">
        <f t="shared" si="0"/>
        <v>0</v>
      </c>
      <c r="G23" s="316">
        <f t="shared" si="0"/>
        <v>0</v>
      </c>
      <c r="H23" s="316">
        <f t="shared" si="0"/>
        <v>0</v>
      </c>
      <c r="I23" s="278"/>
      <c r="J23" s="317">
        <f>AVERAGE(D77:INDEX(D77:H77,0,MATCH(Data!$B$3,$D$7:$H$7,0)))/AVERAGE($D$90:INDEX($D$90:$H$90,0,MATCH(Data!$B$3,$D$7:$H$7,0)))</f>
        <v>0</v>
      </c>
      <c r="K23" s="317">
        <f t="shared" si="1"/>
        <v>0</v>
      </c>
      <c r="L23" s="504"/>
      <c r="M23" s="505"/>
      <c r="N23" s="256"/>
      <c r="O23" s="256"/>
      <c r="P23" s="256"/>
      <c r="Q23" s="256"/>
      <c r="R23" s="256"/>
      <c r="S23" s="256"/>
      <c r="T23" s="256"/>
      <c r="U23" s="256"/>
      <c r="V23" s="256"/>
      <c r="W23" s="256"/>
    </row>
    <row r="24" spans="1:23">
      <c r="A24" s="342" t="s">
        <v>223</v>
      </c>
      <c r="B24" s="276">
        <v>0</v>
      </c>
      <c r="C24" s="277" t="s">
        <v>163</v>
      </c>
      <c r="D24" s="316">
        <f t="shared" si="0"/>
        <v>0</v>
      </c>
      <c r="E24" s="316">
        <f t="shared" si="0"/>
        <v>0</v>
      </c>
      <c r="F24" s="316">
        <f t="shared" si="0"/>
        <v>0</v>
      </c>
      <c r="G24" s="316">
        <f t="shared" si="0"/>
        <v>0</v>
      </c>
      <c r="H24" s="316">
        <f t="shared" si="0"/>
        <v>0</v>
      </c>
      <c r="I24" s="278"/>
      <c r="J24" s="317">
        <f>AVERAGE(D78:INDEX(D78:H78,0,MATCH(Data!$B$3,$D$7:$H$7,0)))/AVERAGE($D$90:INDEX($D$90:$H$90,0,MATCH(Data!$B$3,$D$7:$H$7,0)))</f>
        <v>0</v>
      </c>
      <c r="K24" s="317">
        <f t="shared" si="1"/>
        <v>0</v>
      </c>
      <c r="L24" s="504"/>
      <c r="M24" s="505"/>
      <c r="N24" s="256"/>
      <c r="O24" s="256"/>
      <c r="P24" s="256"/>
      <c r="Q24" s="256"/>
      <c r="R24" s="256"/>
      <c r="S24" s="256"/>
      <c r="T24" s="256"/>
      <c r="U24" s="256"/>
      <c r="V24" s="256"/>
      <c r="W24" s="256"/>
    </row>
    <row r="25" spans="1:23">
      <c r="A25" s="342" t="s">
        <v>224</v>
      </c>
      <c r="B25" s="276">
        <v>0</v>
      </c>
      <c r="C25" s="277" t="s">
        <v>163</v>
      </c>
      <c r="D25" s="316">
        <f t="shared" si="0"/>
        <v>0</v>
      </c>
      <c r="E25" s="316">
        <f t="shared" si="0"/>
        <v>0</v>
      </c>
      <c r="F25" s="316">
        <f t="shared" si="0"/>
        <v>0</v>
      </c>
      <c r="G25" s="316">
        <f t="shared" si="0"/>
        <v>0</v>
      </c>
      <c r="H25" s="316">
        <f t="shared" si="0"/>
        <v>0</v>
      </c>
      <c r="I25" s="278"/>
      <c r="J25" s="317">
        <f>AVERAGE(D79:INDEX(D79:H79,0,MATCH(Data!$B$3,$D$7:$H$7,0)))/AVERAGE($D$90:INDEX($D$90:$H$90,0,MATCH(Data!$B$3,$D$7:$H$7,0)))</f>
        <v>0</v>
      </c>
      <c r="K25" s="317">
        <f t="shared" si="1"/>
        <v>0</v>
      </c>
      <c r="L25" s="504"/>
      <c r="M25" s="505"/>
      <c r="N25" s="256"/>
      <c r="O25" s="256"/>
      <c r="P25" s="256"/>
      <c r="Q25" s="256"/>
      <c r="R25" s="256"/>
      <c r="S25" s="256"/>
      <c r="T25" s="256"/>
      <c r="U25" s="256"/>
      <c r="V25" s="256"/>
      <c r="W25" s="256"/>
    </row>
    <row r="26" spans="1:23">
      <c r="A26" s="342" t="s">
        <v>225</v>
      </c>
      <c r="B26" s="276">
        <v>0</v>
      </c>
      <c r="C26" s="277" t="s">
        <v>163</v>
      </c>
      <c r="D26" s="316">
        <f t="shared" si="0"/>
        <v>0</v>
      </c>
      <c r="E26" s="316">
        <f t="shared" si="0"/>
        <v>0</v>
      </c>
      <c r="F26" s="316">
        <f t="shared" si="0"/>
        <v>0</v>
      </c>
      <c r="G26" s="316">
        <f t="shared" si="0"/>
        <v>0</v>
      </c>
      <c r="H26" s="316">
        <f t="shared" si="0"/>
        <v>0</v>
      </c>
      <c r="I26" s="278"/>
      <c r="J26" s="317">
        <f>AVERAGE(D80:INDEX(D80:H80,0,MATCH(Data!$B$3,$D$7:$H$7,0)))/AVERAGE($D$90:INDEX($D$90:$H$90,0,MATCH(Data!$B$3,$D$7:$H$7,0)))</f>
        <v>0</v>
      </c>
      <c r="K26" s="317">
        <f t="shared" si="1"/>
        <v>0</v>
      </c>
      <c r="L26" s="504"/>
      <c r="M26" s="505"/>
      <c r="N26" s="256"/>
      <c r="O26" s="256"/>
      <c r="P26" s="256"/>
      <c r="Q26" s="256"/>
      <c r="R26" s="256"/>
      <c r="S26" s="256"/>
      <c r="T26" s="256"/>
      <c r="U26" s="256"/>
      <c r="V26" s="256"/>
      <c r="W26" s="256"/>
    </row>
    <row r="27" spans="1:23">
      <c r="A27" s="342" t="s">
        <v>226</v>
      </c>
      <c r="B27" s="276">
        <v>0</v>
      </c>
      <c r="C27" s="277" t="s">
        <v>163</v>
      </c>
      <c r="D27" s="316">
        <f t="shared" ref="D27:H28" si="2">D81/D$90</f>
        <v>0</v>
      </c>
      <c r="E27" s="316">
        <f t="shared" si="2"/>
        <v>0</v>
      </c>
      <c r="F27" s="316">
        <f t="shared" si="2"/>
        <v>0</v>
      </c>
      <c r="G27" s="316">
        <f t="shared" si="2"/>
        <v>0</v>
      </c>
      <c r="H27" s="316">
        <f t="shared" si="2"/>
        <v>0</v>
      </c>
      <c r="I27" s="278"/>
      <c r="J27" s="317">
        <f>AVERAGE(D81:INDEX(D81:H81,0,MATCH(Data!$B$3,$D$7:$H$7,0)))/AVERAGE($D$90:INDEX($D$90:$H$90,0,MATCH(Data!$B$3,$D$7:$H$7,0)))</f>
        <v>0</v>
      </c>
      <c r="K27" s="317">
        <f t="shared" si="1"/>
        <v>0</v>
      </c>
      <c r="L27" s="504"/>
      <c r="M27" s="505"/>
      <c r="N27" s="256"/>
      <c r="O27" s="256"/>
      <c r="P27" s="256"/>
      <c r="Q27" s="256"/>
      <c r="R27" s="256"/>
      <c r="S27" s="256"/>
      <c r="T27" s="256"/>
      <c r="U27" s="256"/>
      <c r="V27" s="256"/>
      <c r="W27" s="256"/>
    </row>
    <row r="28" spans="1:23">
      <c r="A28" s="342"/>
      <c r="B28" s="276" t="s">
        <v>121</v>
      </c>
      <c r="C28" s="277" t="s">
        <v>163</v>
      </c>
      <c r="D28" s="316">
        <f t="shared" si="2"/>
        <v>-1.1376419192113125E-4</v>
      </c>
      <c r="E28" s="316">
        <f t="shared" si="2"/>
        <v>0</v>
      </c>
      <c r="F28" s="316">
        <f t="shared" si="2"/>
        <v>0</v>
      </c>
      <c r="G28" s="316">
        <f t="shared" si="2"/>
        <v>0</v>
      </c>
      <c r="H28" s="316">
        <f t="shared" si="2"/>
        <v>0</v>
      </c>
      <c r="I28" s="278"/>
      <c r="J28" s="317">
        <f>AVERAGE(D82:INDEX(D82:H82,0,MATCH(Data!$B$3,$D$7:$H$7,0)))/AVERAGE($D$90:INDEX($D$90:$H$90,0,MATCH(Data!$B$3,$D$7:$H$7,0)))</f>
        <v>-1.1376419192113125E-4</v>
      </c>
      <c r="K28" s="317">
        <f t="shared" si="1"/>
        <v>-2.1045212347606495E-5</v>
      </c>
      <c r="L28" s="504"/>
      <c r="M28" s="505"/>
      <c r="N28" s="256"/>
      <c r="O28" s="256"/>
      <c r="P28" s="256"/>
      <c r="Q28" s="256"/>
      <c r="R28" s="256"/>
      <c r="S28" s="256"/>
      <c r="T28" s="256"/>
      <c r="U28" s="256"/>
      <c r="V28" s="256"/>
      <c r="W28" s="256"/>
    </row>
    <row r="29" spans="1:23">
      <c r="A29" s="342"/>
      <c r="B29" s="279" t="s">
        <v>122</v>
      </c>
      <c r="C29" s="281" t="s">
        <v>163</v>
      </c>
      <c r="D29" s="324">
        <f>SUM(D11:D28)</f>
        <v>5.6015605209238095E-2</v>
      </c>
      <c r="E29" s="324">
        <f t="shared" ref="E29:H29" si="3">SUM(E11:E28)</f>
        <v>6.1415126002110194E-2</v>
      </c>
      <c r="F29" s="324">
        <f t="shared" si="3"/>
        <v>5.9082819945599725E-2</v>
      </c>
      <c r="G29" s="324">
        <f t="shared" si="3"/>
        <v>6.0171552949112715E-2</v>
      </c>
      <c r="H29" s="324">
        <f t="shared" si="3"/>
        <v>6.614786723212597E-2</v>
      </c>
      <c r="I29" s="287"/>
      <c r="J29" s="151">
        <f>SUM(J11:J28)</f>
        <v>5.6015605209238095E-2</v>
      </c>
      <c r="K29" s="151">
        <f>SUM(K11:K28)</f>
        <v>6.0717342440098909E-2</v>
      </c>
      <c r="L29" s="514"/>
      <c r="M29" s="505"/>
      <c r="N29" s="256"/>
      <c r="O29" s="256"/>
      <c r="P29" s="256"/>
      <c r="Q29" s="256"/>
      <c r="R29" s="256"/>
      <c r="S29" s="256"/>
      <c r="T29" s="256"/>
      <c r="U29" s="256"/>
      <c r="V29" s="256"/>
      <c r="W29" s="256"/>
    </row>
    <row r="30" spans="1:23">
      <c r="A30" s="342"/>
      <c r="B30" s="276" t="s">
        <v>123</v>
      </c>
      <c r="C30" s="277" t="s">
        <v>163</v>
      </c>
      <c r="D30" s="282">
        <f>(D84)/D$90</f>
        <v>7.6728164028768253E-2</v>
      </c>
      <c r="E30" s="283">
        <f t="shared" ref="E30:H30" si="4">(E84)/E$90</f>
        <v>7.1462689032899896E-3</v>
      </c>
      <c r="F30" s="283">
        <f t="shared" si="4"/>
        <v>-4.9382872527430361E-3</v>
      </c>
      <c r="G30" s="283">
        <f t="shared" si="4"/>
        <v>4.5855519092281192E-3</v>
      </c>
      <c r="H30" s="283">
        <f t="shared" si="4"/>
        <v>1.2206925895931807E-2</v>
      </c>
      <c r="I30" s="194"/>
      <c r="J30" s="317">
        <f>AVERAGE(D84:INDEX(D84:H84,0,MATCH(Data!$B$3,$D$7:$H$7,0)))/AVERAGE($D$90:INDEX($D$90:$H$90,0,MATCH(Data!$B$3,$D$7:$H$7,0)))</f>
        <v>7.6728164028768253E-2</v>
      </c>
      <c r="K30" s="285">
        <f>AVERAGE(D84:H84)/AVERAGE($D$90:$H$90)</f>
        <v>1.8170224625405712E-2</v>
      </c>
      <c r="L30" s="504"/>
      <c r="M30" s="505"/>
      <c r="N30" s="256"/>
      <c r="O30" s="256"/>
      <c r="P30" s="256"/>
      <c r="Q30" s="256"/>
      <c r="R30" s="256"/>
      <c r="S30" s="256"/>
      <c r="T30" s="256"/>
      <c r="U30" s="256"/>
      <c r="V30" s="256"/>
      <c r="W30" s="256"/>
    </row>
    <row r="31" spans="1:23">
      <c r="A31" s="342"/>
      <c r="B31" s="276" t="s">
        <v>124</v>
      </c>
      <c r="C31" s="277" t="s">
        <v>163</v>
      </c>
      <c r="D31" s="282">
        <f>(D86)/D$90</f>
        <v>-4.1489859602127097E-3</v>
      </c>
      <c r="E31" s="283">
        <f t="shared" ref="E31:H31" si="5">(E86)/E$90</f>
        <v>1.7222440724641614E-3</v>
      </c>
      <c r="F31" s="283">
        <f t="shared" si="5"/>
        <v>1.0217526183474899E-3</v>
      </c>
      <c r="G31" s="283">
        <f t="shared" si="5"/>
        <v>2.3196454480319377E-4</v>
      </c>
      <c r="H31" s="283">
        <f t="shared" si="5"/>
        <v>9.3284415698519389E-4</v>
      </c>
      <c r="I31" s="194"/>
      <c r="J31" s="317">
        <f>AVERAGE(D86:INDEX(D86:H86,0,MATCH(Data!$B$3,$D$7:$H$7,0)))/AVERAGE($D$90:INDEX($D$90:$H$90,0,MATCH(Data!$B$3,$D$7:$H$7,0)))</f>
        <v>-4.1489859602127097E-3</v>
      </c>
      <c r="K31" s="285">
        <f>AVERAGE(D86:H86)/AVERAGE($D$90:$H$90)</f>
        <v>1.5023285279750596E-5</v>
      </c>
      <c r="L31" s="504"/>
      <c r="M31" s="505"/>
      <c r="N31" s="256"/>
      <c r="O31" s="256"/>
      <c r="P31" s="256"/>
      <c r="Q31" s="256"/>
      <c r="R31" s="256"/>
      <c r="S31" s="256"/>
      <c r="T31" s="256"/>
      <c r="U31" s="256"/>
      <c r="V31" s="256"/>
      <c r="W31" s="256"/>
    </row>
    <row r="32" spans="1:23">
      <c r="A32" s="342"/>
      <c r="B32" s="279" t="s">
        <v>125</v>
      </c>
      <c r="C32" s="281" t="s">
        <v>163</v>
      </c>
      <c r="D32" s="151">
        <f>SUM(D29:D31)</f>
        <v>0.12859478327779364</v>
      </c>
      <c r="E32" s="325">
        <f t="shared" ref="E32:H32" si="6">SUM(E29:E31)</f>
        <v>7.0283638977864341E-2</v>
      </c>
      <c r="F32" s="325">
        <f t="shared" si="6"/>
        <v>5.5166285311204183E-2</v>
      </c>
      <c r="G32" s="325">
        <f t="shared" si="6"/>
        <v>6.4989069403144029E-2</v>
      </c>
      <c r="H32" s="325">
        <f t="shared" si="6"/>
        <v>7.9287637285042969E-2</v>
      </c>
      <c r="I32" s="287"/>
      <c r="J32" s="151">
        <f>SUM(J29:J31)</f>
        <v>0.12859478327779364</v>
      </c>
      <c r="K32" s="323">
        <f>SUM(K29:K31)</f>
        <v>7.8902590350784368E-2</v>
      </c>
      <c r="L32" s="514"/>
      <c r="M32" s="505"/>
      <c r="N32" s="256"/>
      <c r="O32" s="256"/>
      <c r="P32" s="256"/>
      <c r="Q32" s="256"/>
      <c r="R32" s="256"/>
      <c r="S32" s="256"/>
      <c r="T32" s="256"/>
      <c r="U32" s="256"/>
      <c r="V32" s="256"/>
      <c r="W32" s="256"/>
    </row>
    <row r="33" spans="1:23">
      <c r="A33" s="342"/>
      <c r="B33" s="265"/>
      <c r="C33" s="256"/>
      <c r="D33" s="278"/>
      <c r="E33" s="278"/>
      <c r="F33" s="278"/>
      <c r="G33" s="278"/>
      <c r="H33" s="278"/>
      <c r="I33" s="278"/>
      <c r="J33" s="278"/>
      <c r="K33" s="278"/>
      <c r="L33" s="505"/>
      <c r="M33" s="505"/>
      <c r="N33" s="256"/>
      <c r="O33" s="256"/>
      <c r="P33" s="256"/>
      <c r="Q33" s="256"/>
      <c r="R33" s="256"/>
      <c r="S33" s="256"/>
      <c r="T33" s="256"/>
      <c r="U33" s="256"/>
      <c r="V33" s="256"/>
      <c r="W33" s="256"/>
    </row>
    <row r="34" spans="1:23">
      <c r="A34" s="342"/>
      <c r="B34" s="265"/>
      <c r="C34" s="256"/>
      <c r="D34" s="278"/>
      <c r="E34" s="278"/>
      <c r="F34" s="278"/>
      <c r="G34" s="278"/>
      <c r="H34" s="278"/>
      <c r="I34" s="518"/>
      <c r="J34" s="518"/>
      <c r="K34" s="278"/>
      <c r="L34" s="505"/>
      <c r="M34" s="505"/>
      <c r="N34" s="256"/>
      <c r="O34" s="256"/>
      <c r="P34" s="256"/>
      <c r="Q34" s="256"/>
      <c r="R34" s="256"/>
      <c r="S34" s="256"/>
      <c r="T34" s="256"/>
      <c r="U34" s="256"/>
      <c r="V34" s="256"/>
      <c r="W34" s="256"/>
    </row>
    <row r="35" spans="1:23">
      <c r="A35" s="342"/>
      <c r="B35" s="265"/>
      <c r="C35" s="256"/>
      <c r="D35" s="278"/>
      <c r="E35" s="278"/>
      <c r="F35" s="278"/>
      <c r="G35" s="278"/>
      <c r="H35" s="278"/>
      <c r="I35" s="518"/>
      <c r="J35" s="518"/>
      <c r="K35" s="278"/>
      <c r="L35" s="505"/>
      <c r="M35" s="505"/>
      <c r="N35" s="256"/>
      <c r="O35" s="256"/>
      <c r="P35" s="256"/>
      <c r="Q35" s="256"/>
      <c r="R35" s="256"/>
      <c r="S35" s="256"/>
      <c r="T35" s="256"/>
      <c r="U35" s="256"/>
      <c r="V35" s="256"/>
      <c r="W35" s="256"/>
    </row>
    <row r="36" spans="1:23">
      <c r="A36" s="342"/>
      <c r="B36" s="273" t="s">
        <v>57</v>
      </c>
      <c r="C36" s="274"/>
      <c r="D36" s="320"/>
      <c r="E36" s="320"/>
      <c r="F36" s="320"/>
      <c r="G36" s="320"/>
      <c r="H36" s="320"/>
      <c r="I36" s="519"/>
      <c r="J36" s="519"/>
      <c r="K36" s="320"/>
      <c r="L36" s="513"/>
      <c r="M36" s="513"/>
      <c r="N36" s="256"/>
      <c r="O36" s="256"/>
      <c r="P36" s="256"/>
      <c r="Q36" s="256"/>
      <c r="R36" s="256"/>
      <c r="S36" s="256"/>
      <c r="T36" s="256"/>
      <c r="U36" s="256"/>
      <c r="V36" s="256"/>
      <c r="W36" s="256"/>
    </row>
    <row r="37" spans="1:23">
      <c r="A37" s="342"/>
      <c r="B37" s="275"/>
      <c r="C37" s="256"/>
      <c r="D37" s="278"/>
      <c r="E37" s="278"/>
      <c r="F37" s="278"/>
      <c r="G37" s="278"/>
      <c r="H37" s="278"/>
      <c r="I37" s="515"/>
      <c r="J37" s="515"/>
      <c r="K37" s="278"/>
      <c r="L37" s="505"/>
      <c r="M37" s="505"/>
      <c r="N37" s="256"/>
      <c r="O37" s="256"/>
      <c r="P37" s="256"/>
      <c r="Q37" s="256"/>
      <c r="R37" s="256"/>
      <c r="S37" s="256"/>
      <c r="T37" s="256"/>
      <c r="U37" s="256"/>
      <c r="V37" s="256"/>
      <c r="W37" s="256"/>
    </row>
    <row r="38" spans="1:23">
      <c r="A38" s="342"/>
      <c r="B38" s="276" t="s">
        <v>107</v>
      </c>
      <c r="C38" s="277" t="s">
        <v>163</v>
      </c>
      <c r="D38" s="282">
        <f t="shared" ref="D38:H53" si="7">D65/D$91</f>
        <v>5.2810429212743773E-2</v>
      </c>
      <c r="E38" s="283">
        <f t="shared" si="7"/>
        <v>5.6049364081125201E-2</v>
      </c>
      <c r="F38" s="283">
        <f t="shared" si="7"/>
        <v>5.4979093018076637E-2</v>
      </c>
      <c r="G38" s="283">
        <f t="shared" si="7"/>
        <v>5.5347744257113189E-2</v>
      </c>
      <c r="H38" s="283">
        <f t="shared" si="7"/>
        <v>5.5511983353723496E-2</v>
      </c>
      <c r="I38" s="194"/>
      <c r="J38" s="284">
        <f>AVERAGE(D65:INDEX(D65:H65,0,MATCH(Data!$B$3,$D$7:$H$7,0)))/AVERAGE($D$91:INDEX($D$91:$H$91,0,MATCH(Data!$B$3,$D$7:$H$7,0)))</f>
        <v>5.2810429212743773E-2</v>
      </c>
      <c r="K38" s="285">
        <f t="shared" ref="K38:K55" si="8">AVERAGE(D65:H65)/AVERAGE($D$91:$H$91)</f>
        <v>5.497323011181119E-2</v>
      </c>
      <c r="L38" s="504"/>
      <c r="M38" s="505"/>
      <c r="N38" s="256"/>
      <c r="O38" s="256"/>
      <c r="P38" s="256"/>
      <c r="Q38" s="256"/>
      <c r="R38" s="256"/>
      <c r="S38" s="256"/>
      <c r="T38" s="256"/>
      <c r="U38" s="256"/>
      <c r="V38" s="256"/>
      <c r="W38" s="256"/>
    </row>
    <row r="39" spans="1:23">
      <c r="A39" s="342"/>
      <c r="B39" s="276" t="s">
        <v>108</v>
      </c>
      <c r="C39" s="277" t="s">
        <v>163</v>
      </c>
      <c r="D39" s="282">
        <f t="shared" si="7"/>
        <v>0</v>
      </c>
      <c r="E39" s="283">
        <f t="shared" si="7"/>
        <v>0</v>
      </c>
      <c r="F39" s="283">
        <f t="shared" si="7"/>
        <v>0</v>
      </c>
      <c r="G39" s="283">
        <f t="shared" si="7"/>
        <v>0</v>
      </c>
      <c r="H39" s="283">
        <f t="shared" si="7"/>
        <v>0</v>
      </c>
      <c r="I39" s="194"/>
      <c r="J39" s="284">
        <f>AVERAGE(D66:INDEX(D66:H66,0,MATCH(Data!$B$3,$D$7:$H$7,0)))/AVERAGE($D$91:INDEX($D$91:$H$91,0,MATCH(Data!$B$3,$D$7:$H$7,0)))</f>
        <v>0</v>
      </c>
      <c r="K39" s="285">
        <f t="shared" si="8"/>
        <v>0</v>
      </c>
      <c r="L39" s="504"/>
      <c r="M39" s="505"/>
      <c r="N39" s="256"/>
      <c r="O39" s="256"/>
      <c r="P39" s="256"/>
      <c r="Q39" s="256"/>
      <c r="R39" s="256"/>
      <c r="S39" s="256"/>
      <c r="T39" s="256"/>
      <c r="U39" s="256"/>
      <c r="V39" s="256"/>
      <c r="W39" s="256"/>
    </row>
    <row r="40" spans="1:23">
      <c r="A40" s="342" t="s">
        <v>212</v>
      </c>
      <c r="B40" s="276" t="s">
        <v>109</v>
      </c>
      <c r="C40" s="277" t="s">
        <v>163</v>
      </c>
      <c r="D40" s="282">
        <f t="shared" si="7"/>
        <v>0</v>
      </c>
      <c r="E40" s="283">
        <f t="shared" si="7"/>
        <v>0</v>
      </c>
      <c r="F40" s="283">
        <f t="shared" si="7"/>
        <v>0</v>
      </c>
      <c r="G40" s="283">
        <f t="shared" si="7"/>
        <v>0</v>
      </c>
      <c r="H40" s="283">
        <f t="shared" si="7"/>
        <v>0</v>
      </c>
      <c r="I40" s="194"/>
      <c r="J40" s="284">
        <f>AVERAGE(D67:INDEX(D67:H67,0,MATCH(Data!$B$3,$D$7:$H$7,0)))/AVERAGE($D$91:INDEX($D$91:$H$91,0,MATCH(Data!$B$3,$D$7:$H$7,0)))</f>
        <v>0</v>
      </c>
      <c r="K40" s="285">
        <f t="shared" si="8"/>
        <v>0</v>
      </c>
      <c r="L40" s="504"/>
      <c r="M40" s="505"/>
      <c r="N40" s="256"/>
      <c r="O40" s="256"/>
      <c r="P40" s="256"/>
      <c r="Q40" s="256"/>
      <c r="R40" s="256"/>
      <c r="S40" s="256"/>
      <c r="T40" s="256"/>
      <c r="U40" s="256"/>
      <c r="V40" s="256"/>
      <c r="W40" s="256"/>
    </row>
    <row r="41" spans="1:23">
      <c r="A41" s="342" t="s">
        <v>213</v>
      </c>
      <c r="B41" s="276" t="s">
        <v>110</v>
      </c>
      <c r="C41" s="277" t="s">
        <v>163</v>
      </c>
      <c r="D41" s="282">
        <f t="shared" si="7"/>
        <v>3.2896813717342823E-4</v>
      </c>
      <c r="E41" s="283">
        <f t="shared" si="7"/>
        <v>3.3754077156045951E-4</v>
      </c>
      <c r="F41" s="283">
        <f t="shared" si="7"/>
        <v>3.2030413501487237E-4</v>
      </c>
      <c r="G41" s="283">
        <f t="shared" si="7"/>
        <v>3.0817899723652599E-4</v>
      </c>
      <c r="H41" s="283">
        <f t="shared" si="7"/>
        <v>2.96157896267449E-4</v>
      </c>
      <c r="I41" s="194"/>
      <c r="J41" s="284">
        <f>AVERAGE(D68:INDEX(D68:H68,0,MATCH(Data!$B$3,$D$7:$H$7,0)))/AVERAGE($D$91:INDEX($D$91:$H$91,0,MATCH(Data!$B$3,$D$7:$H$7,0)))</f>
        <v>3.2896813717342823E-4</v>
      </c>
      <c r="K41" s="285">
        <f t="shared" si="8"/>
        <v>3.1743013013738351E-4</v>
      </c>
      <c r="L41" s="504"/>
      <c r="M41" s="505"/>
      <c r="N41" s="256"/>
      <c r="O41" s="256"/>
      <c r="P41" s="256"/>
      <c r="Q41" s="256"/>
      <c r="R41" s="256"/>
      <c r="S41" s="256"/>
      <c r="T41" s="256"/>
      <c r="U41" s="256"/>
      <c r="V41" s="256"/>
      <c r="W41" s="256"/>
    </row>
    <row r="42" spans="1:23">
      <c r="A42" s="342" t="s">
        <v>214</v>
      </c>
      <c r="B42" s="276" t="s">
        <v>111</v>
      </c>
      <c r="C42" s="277" t="s">
        <v>163</v>
      </c>
      <c r="D42" s="282">
        <f t="shared" si="7"/>
        <v>9.8698323014247374E-4</v>
      </c>
      <c r="E42" s="283">
        <f t="shared" si="7"/>
        <v>1.9976944578437269E-3</v>
      </c>
      <c r="F42" s="283">
        <f t="shared" si="7"/>
        <v>2.6065620592441957E-3</v>
      </c>
      <c r="G42" s="283">
        <f t="shared" si="7"/>
        <v>3.1918605741312772E-3</v>
      </c>
      <c r="H42" s="283">
        <f t="shared" si="7"/>
        <v>3.6436557474115215E-3</v>
      </c>
      <c r="I42" s="194"/>
      <c r="J42" s="284">
        <f>AVERAGE(D69:INDEX(D69:H69,0,MATCH(Data!$B$3,$D$7:$H$7,0)))/AVERAGE($D$91:INDEX($D$91:$H$91,0,MATCH(Data!$B$3,$D$7:$H$7,0)))</f>
        <v>9.8698323014247374E-4</v>
      </c>
      <c r="K42" s="285">
        <f t="shared" si="8"/>
        <v>2.53754068250827E-3</v>
      </c>
      <c r="L42" s="504"/>
      <c r="M42" s="505"/>
      <c r="N42" s="256"/>
      <c r="O42" s="256"/>
      <c r="P42" s="256"/>
      <c r="Q42" s="256"/>
      <c r="R42" s="256"/>
      <c r="S42" s="256"/>
      <c r="T42" s="256"/>
      <c r="U42" s="256"/>
      <c r="V42" s="256"/>
      <c r="W42" s="256"/>
    </row>
    <row r="43" spans="1:23">
      <c r="A43" s="342" t="s">
        <v>215</v>
      </c>
      <c r="B43" s="276" t="s">
        <v>112</v>
      </c>
      <c r="C43" s="277" t="s">
        <v>163</v>
      </c>
      <c r="D43" s="282">
        <f t="shared" si="7"/>
        <v>1.6434690226634994E-3</v>
      </c>
      <c r="E43" s="283">
        <f t="shared" si="7"/>
        <v>1.4809468353406609E-3</v>
      </c>
      <c r="F43" s="283">
        <f t="shared" si="7"/>
        <v>1.4048418110798558E-3</v>
      </c>
      <c r="G43" s="283">
        <f t="shared" si="7"/>
        <v>1.3536625128664455E-3</v>
      </c>
      <c r="H43" s="283">
        <f t="shared" si="7"/>
        <v>1.2987400870616964E-3</v>
      </c>
      <c r="I43" s="194"/>
      <c r="J43" s="284">
        <f>AVERAGE(D70:INDEX(D70:H70,0,MATCH(Data!$B$3,$D$7:$H$7,0)))/AVERAGE($D$91:INDEX($D$91:$H$91,0,MATCH(Data!$B$3,$D$7:$H$7,0)))</f>
        <v>1.6434690226634994E-3</v>
      </c>
      <c r="K43" s="285">
        <f t="shared" si="8"/>
        <v>1.4298364783363944E-3</v>
      </c>
      <c r="L43" s="504"/>
      <c r="M43" s="505"/>
      <c r="N43" s="256"/>
      <c r="O43" s="256"/>
      <c r="P43" s="256"/>
      <c r="Q43" s="256"/>
      <c r="R43" s="256"/>
      <c r="S43" s="256"/>
      <c r="T43" s="256"/>
      <c r="U43" s="256"/>
      <c r="V43" s="256"/>
      <c r="W43" s="256"/>
    </row>
    <row r="44" spans="1:23">
      <c r="A44" s="342" t="s">
        <v>216</v>
      </c>
      <c r="B44" s="276" t="s">
        <v>113</v>
      </c>
      <c r="C44" s="277" t="s">
        <v>163</v>
      </c>
      <c r="D44" s="282">
        <f t="shared" si="7"/>
        <v>0</v>
      </c>
      <c r="E44" s="283">
        <f t="shared" si="7"/>
        <v>0</v>
      </c>
      <c r="F44" s="283">
        <f t="shared" si="7"/>
        <v>0</v>
      </c>
      <c r="G44" s="283">
        <f t="shared" si="7"/>
        <v>0</v>
      </c>
      <c r="H44" s="283">
        <f t="shared" si="7"/>
        <v>0</v>
      </c>
      <c r="I44" s="194"/>
      <c r="J44" s="284">
        <f>AVERAGE(D71:INDEX(D71:H71,0,MATCH(Data!$B$3,$D$7:$H$7,0)))/AVERAGE($D$91:INDEX($D$91:$H$91,0,MATCH(Data!$B$3,$D$7:$H$7,0)))</f>
        <v>0</v>
      </c>
      <c r="K44" s="285">
        <f t="shared" si="8"/>
        <v>0</v>
      </c>
      <c r="L44" s="504"/>
      <c r="M44" s="505"/>
      <c r="N44" s="256"/>
      <c r="O44" s="256"/>
      <c r="P44" s="256"/>
      <c r="Q44" s="256"/>
      <c r="R44" s="256"/>
      <c r="S44" s="256"/>
      <c r="T44" s="256"/>
      <c r="U44" s="256"/>
      <c r="V44" s="256"/>
      <c r="W44" s="256"/>
    </row>
    <row r="45" spans="1:23">
      <c r="A45" s="342" t="s">
        <v>217</v>
      </c>
      <c r="B45" s="276" t="s">
        <v>114</v>
      </c>
      <c r="C45" s="277" t="s">
        <v>163</v>
      </c>
      <c r="D45" s="282">
        <f t="shared" si="7"/>
        <v>0</v>
      </c>
      <c r="E45" s="283">
        <f t="shared" si="7"/>
        <v>1.9268071133435201E-3</v>
      </c>
      <c r="F45" s="283">
        <f t="shared" si="7"/>
        <v>0</v>
      </c>
      <c r="G45" s="283">
        <f t="shared" si="7"/>
        <v>0</v>
      </c>
      <c r="H45" s="283">
        <f t="shared" si="7"/>
        <v>5.4244493043205146E-3</v>
      </c>
      <c r="I45" s="194"/>
      <c r="J45" s="284">
        <f>AVERAGE(D72:INDEX(D72:H72,0,MATCH(Data!$B$3,$D$7:$H$7,0)))/AVERAGE($D$91:INDEX($D$91:$H$91,0,MATCH(Data!$B$3,$D$7:$H$7,0)))</f>
        <v>0</v>
      </c>
      <c r="K45" s="285">
        <f t="shared" si="8"/>
        <v>1.5408554112675773E-3</v>
      </c>
      <c r="L45" s="504"/>
      <c r="M45" s="505"/>
      <c r="N45" s="256"/>
      <c r="O45" s="256"/>
      <c r="P45" s="256"/>
      <c r="Q45" s="256"/>
      <c r="R45" s="256"/>
      <c r="S45" s="256"/>
      <c r="T45" s="256"/>
      <c r="U45" s="256"/>
      <c r="V45" s="256"/>
      <c r="W45" s="256"/>
    </row>
    <row r="46" spans="1:23">
      <c r="A46" s="342" t="s">
        <v>218</v>
      </c>
      <c r="B46" s="276" t="s">
        <v>115</v>
      </c>
      <c r="C46" s="277" t="s">
        <v>163</v>
      </c>
      <c r="D46" s="282">
        <f t="shared" si="7"/>
        <v>3.6269861671449458E-4</v>
      </c>
      <c r="E46" s="283">
        <f t="shared" si="7"/>
        <v>0</v>
      </c>
      <c r="F46" s="283">
        <f t="shared" si="7"/>
        <v>0</v>
      </c>
      <c r="G46" s="283">
        <f t="shared" si="7"/>
        <v>0</v>
      </c>
      <c r="H46" s="283">
        <f t="shared" si="7"/>
        <v>0</v>
      </c>
      <c r="I46" s="194"/>
      <c r="J46" s="284">
        <f>AVERAGE(D73:INDEX(D73:H73,0,MATCH(Data!$B$3,$D$7:$H$7,0)))/AVERAGE($D$91:INDEX($D$91:$H$91,0,MATCH(Data!$B$3,$D$7:$H$7,0)))</f>
        <v>3.6269861671449458E-4</v>
      </c>
      <c r="K46" s="285">
        <f t="shared" si="8"/>
        <v>6.7124651692896062E-5</v>
      </c>
      <c r="L46" s="504"/>
      <c r="M46" s="505"/>
      <c r="N46" s="256"/>
      <c r="O46" s="256"/>
      <c r="P46" s="256"/>
      <c r="Q46" s="256"/>
      <c r="R46" s="256"/>
      <c r="S46" s="256"/>
      <c r="T46" s="256"/>
      <c r="U46" s="256"/>
      <c r="V46" s="256"/>
      <c r="W46" s="256"/>
    </row>
    <row r="47" spans="1:23">
      <c r="A47" s="342" t="s">
        <v>219</v>
      </c>
      <c r="B47" s="276" t="s">
        <v>118</v>
      </c>
      <c r="C47" s="277" t="s">
        <v>163</v>
      </c>
      <c r="D47" s="282">
        <f t="shared" si="7"/>
        <v>-8.9914799920985333E-6</v>
      </c>
      <c r="E47" s="283">
        <f t="shared" si="7"/>
        <v>-1.8607958212882799E-4</v>
      </c>
      <c r="F47" s="283">
        <f t="shared" si="7"/>
        <v>-4.3821896692508615E-4</v>
      </c>
      <c r="G47" s="283">
        <f t="shared" si="7"/>
        <v>0</v>
      </c>
      <c r="H47" s="283">
        <f t="shared" si="7"/>
        <v>0</v>
      </c>
      <c r="I47" s="194"/>
      <c r="J47" s="284">
        <f>AVERAGE(D74:INDEX(D74:H74,0,MATCH(Data!$B$3,$D$7:$H$7,0)))/AVERAGE($D$91:INDEX($D$91:$H$91,0,MATCH(Data!$B$3,$D$7:$H$7,0)))</f>
        <v>-8.9914799920985333E-6</v>
      </c>
      <c r="K47" s="285">
        <f t="shared" si="8"/>
        <v>-1.2476951775566448E-4</v>
      </c>
      <c r="L47" s="504"/>
      <c r="M47" s="505"/>
      <c r="N47" s="256"/>
      <c r="O47" s="256"/>
      <c r="P47" s="256"/>
      <c r="Q47" s="256"/>
      <c r="R47" s="256"/>
      <c r="S47" s="256"/>
      <c r="T47" s="256"/>
      <c r="U47" s="256"/>
      <c r="V47" s="256"/>
      <c r="W47" s="256"/>
    </row>
    <row r="48" spans="1:23">
      <c r="A48" s="342" t="s">
        <v>220</v>
      </c>
      <c r="B48" s="276" t="s">
        <v>119</v>
      </c>
      <c r="C48" s="277" t="s">
        <v>163</v>
      </c>
      <c r="D48" s="282">
        <f t="shared" si="7"/>
        <v>0</v>
      </c>
      <c r="E48" s="283">
        <f t="shared" si="7"/>
        <v>0</v>
      </c>
      <c r="F48" s="283">
        <f t="shared" si="7"/>
        <v>0</v>
      </c>
      <c r="G48" s="283">
        <f t="shared" si="7"/>
        <v>0</v>
      </c>
      <c r="H48" s="283">
        <f t="shared" si="7"/>
        <v>0</v>
      </c>
      <c r="I48" s="194"/>
      <c r="J48" s="284">
        <f>AVERAGE(D75:INDEX(D75:H75,0,MATCH(Data!$B$3,$D$7:$H$7,0)))/AVERAGE($D$91:INDEX($D$91:$H$91,0,MATCH(Data!$B$3,$D$7:$H$7,0)))</f>
        <v>0</v>
      </c>
      <c r="K48" s="285">
        <f t="shared" si="8"/>
        <v>0</v>
      </c>
      <c r="L48" s="504"/>
      <c r="M48" s="505"/>
      <c r="N48" s="256"/>
      <c r="O48" s="256"/>
      <c r="P48" s="256"/>
      <c r="Q48" s="256"/>
      <c r="R48" s="256"/>
      <c r="S48" s="256"/>
      <c r="T48" s="256"/>
      <c r="U48" s="256"/>
      <c r="V48" s="256"/>
      <c r="W48" s="256"/>
    </row>
    <row r="49" spans="1:23">
      <c r="A49" s="342" t="s">
        <v>221</v>
      </c>
      <c r="B49" s="276" t="s">
        <v>120</v>
      </c>
      <c r="C49" s="277" t="s">
        <v>163</v>
      </c>
      <c r="D49" s="282">
        <f t="shared" si="7"/>
        <v>-1.9168819515435795E-5</v>
      </c>
      <c r="E49" s="283">
        <f t="shared" si="7"/>
        <v>0</v>
      </c>
      <c r="F49" s="283">
        <f t="shared" si="7"/>
        <v>0</v>
      </c>
      <c r="G49" s="283">
        <f t="shared" si="7"/>
        <v>0</v>
      </c>
      <c r="H49" s="283">
        <f t="shared" si="7"/>
        <v>0</v>
      </c>
      <c r="I49" s="194"/>
      <c r="J49" s="284">
        <f>AVERAGE(D76:INDEX(D76:H76,0,MATCH(Data!$B$3,$D$7:$H$7,0)))/AVERAGE($D$91:INDEX($D$91:$H$91,0,MATCH(Data!$B$3,$D$7:$H$7,0)))</f>
        <v>-1.9168819515435795E-5</v>
      </c>
      <c r="K49" s="285">
        <f t="shared" si="8"/>
        <v>-3.5475744158971199E-6</v>
      </c>
      <c r="L49" s="504"/>
      <c r="M49" s="505"/>
      <c r="N49" s="256"/>
      <c r="O49" s="256"/>
      <c r="P49" s="256"/>
      <c r="Q49" s="256"/>
      <c r="R49" s="256"/>
      <c r="S49" s="256"/>
      <c r="T49" s="256"/>
      <c r="U49" s="256"/>
      <c r="V49" s="256"/>
      <c r="W49" s="256"/>
    </row>
    <row r="50" spans="1:23">
      <c r="A50" s="342" t="s">
        <v>222</v>
      </c>
      <c r="B50" s="276">
        <v>0</v>
      </c>
      <c r="C50" s="277" t="s">
        <v>163</v>
      </c>
      <c r="D50" s="282">
        <f t="shared" si="7"/>
        <v>0</v>
      </c>
      <c r="E50" s="283">
        <f t="shared" si="7"/>
        <v>0</v>
      </c>
      <c r="F50" s="283">
        <f t="shared" si="7"/>
        <v>0</v>
      </c>
      <c r="G50" s="283">
        <f t="shared" si="7"/>
        <v>0</v>
      </c>
      <c r="H50" s="283">
        <f t="shared" si="7"/>
        <v>0</v>
      </c>
      <c r="I50" s="194"/>
      <c r="J50" s="284">
        <f>AVERAGE(D77:INDEX(D77:H77,0,MATCH(Data!$B$3,$D$7:$H$7,0)))/AVERAGE($D$91:INDEX($D$91:$H$91,0,MATCH(Data!$B$3,$D$7:$H$7,0)))</f>
        <v>0</v>
      </c>
      <c r="K50" s="285">
        <f t="shared" si="8"/>
        <v>0</v>
      </c>
      <c r="L50" s="504"/>
      <c r="M50" s="505"/>
      <c r="N50" s="256"/>
      <c r="O50" s="256"/>
      <c r="P50" s="256"/>
      <c r="Q50" s="256"/>
      <c r="R50" s="256"/>
      <c r="S50" s="256"/>
      <c r="T50" s="256"/>
      <c r="U50" s="256"/>
      <c r="V50" s="256"/>
      <c r="W50" s="256"/>
    </row>
    <row r="51" spans="1:23">
      <c r="A51" s="342" t="s">
        <v>223</v>
      </c>
      <c r="B51" s="276">
        <v>0</v>
      </c>
      <c r="C51" s="277" t="s">
        <v>163</v>
      </c>
      <c r="D51" s="282">
        <f t="shared" si="7"/>
        <v>0</v>
      </c>
      <c r="E51" s="283">
        <f t="shared" si="7"/>
        <v>0</v>
      </c>
      <c r="F51" s="283">
        <f t="shared" si="7"/>
        <v>0</v>
      </c>
      <c r="G51" s="283">
        <f t="shared" si="7"/>
        <v>0</v>
      </c>
      <c r="H51" s="283">
        <f t="shared" si="7"/>
        <v>0</v>
      </c>
      <c r="I51" s="194"/>
      <c r="J51" s="284">
        <f>AVERAGE(D78:INDEX(D78:H78,0,MATCH(Data!$B$3,$D$7:$H$7,0)))/AVERAGE($D$91:INDEX($D$91:$H$91,0,MATCH(Data!$B$3,$D$7:$H$7,0)))</f>
        <v>0</v>
      </c>
      <c r="K51" s="285">
        <f t="shared" si="8"/>
        <v>0</v>
      </c>
      <c r="L51" s="504"/>
      <c r="M51" s="505"/>
      <c r="N51" s="256"/>
      <c r="O51" s="256"/>
      <c r="P51" s="256"/>
      <c r="Q51" s="256"/>
      <c r="R51" s="256"/>
      <c r="S51" s="256"/>
      <c r="T51" s="256"/>
      <c r="U51" s="256"/>
      <c r="V51" s="256"/>
      <c r="W51" s="256"/>
    </row>
    <row r="52" spans="1:23">
      <c r="A52" s="342" t="s">
        <v>224</v>
      </c>
      <c r="B52" s="276">
        <v>0</v>
      </c>
      <c r="C52" s="277" t="s">
        <v>163</v>
      </c>
      <c r="D52" s="282">
        <f t="shared" si="7"/>
        <v>0</v>
      </c>
      <c r="E52" s="283">
        <f t="shared" si="7"/>
        <v>0</v>
      </c>
      <c r="F52" s="283">
        <f t="shared" si="7"/>
        <v>0</v>
      </c>
      <c r="G52" s="283">
        <f t="shared" si="7"/>
        <v>0</v>
      </c>
      <c r="H52" s="283">
        <f t="shared" si="7"/>
        <v>0</v>
      </c>
      <c r="I52" s="194"/>
      <c r="J52" s="284">
        <f>AVERAGE(D79:INDEX(D79:H79,0,MATCH(Data!$B$3,$D$7:$H$7,0)))/AVERAGE($D$91:INDEX($D$91:$H$91,0,MATCH(Data!$B$3,$D$7:$H$7,0)))</f>
        <v>0</v>
      </c>
      <c r="K52" s="285">
        <f t="shared" si="8"/>
        <v>0</v>
      </c>
      <c r="L52" s="504"/>
      <c r="M52" s="505"/>
      <c r="N52" s="256"/>
      <c r="O52" s="256"/>
      <c r="P52" s="256"/>
      <c r="Q52" s="256"/>
      <c r="R52" s="256"/>
      <c r="S52" s="256"/>
      <c r="T52" s="256"/>
      <c r="U52" s="256"/>
      <c r="V52" s="256"/>
      <c r="W52" s="256"/>
    </row>
    <row r="53" spans="1:23">
      <c r="A53" s="342" t="s">
        <v>225</v>
      </c>
      <c r="B53" s="276">
        <v>0</v>
      </c>
      <c r="C53" s="277" t="s">
        <v>163</v>
      </c>
      <c r="D53" s="282">
        <f t="shared" si="7"/>
        <v>0</v>
      </c>
      <c r="E53" s="283">
        <f t="shared" si="7"/>
        <v>0</v>
      </c>
      <c r="F53" s="283">
        <f t="shared" si="7"/>
        <v>0</v>
      </c>
      <c r="G53" s="283">
        <f t="shared" si="7"/>
        <v>0</v>
      </c>
      <c r="H53" s="283">
        <f t="shared" si="7"/>
        <v>0</v>
      </c>
      <c r="I53" s="194"/>
      <c r="J53" s="284">
        <f>AVERAGE(D80:INDEX(D80:H80,0,MATCH(Data!$B$3,$D$7:$H$7,0)))/AVERAGE($D$91:INDEX($D$91:$H$91,0,MATCH(Data!$B$3,$D$7:$H$7,0)))</f>
        <v>0</v>
      </c>
      <c r="K53" s="285">
        <f t="shared" si="8"/>
        <v>0</v>
      </c>
      <c r="L53" s="504"/>
      <c r="M53" s="505"/>
      <c r="N53" s="256"/>
      <c r="O53" s="256"/>
      <c r="P53" s="256"/>
      <c r="Q53" s="256"/>
      <c r="R53" s="256"/>
      <c r="S53" s="256"/>
      <c r="T53" s="256"/>
      <c r="U53" s="256"/>
      <c r="V53" s="256"/>
      <c r="W53" s="256"/>
    </row>
    <row r="54" spans="1:23">
      <c r="A54" s="342" t="s">
        <v>226</v>
      </c>
      <c r="B54" s="276">
        <v>0</v>
      </c>
      <c r="C54" s="277" t="s">
        <v>163</v>
      </c>
      <c r="D54" s="282">
        <f t="shared" ref="D54:H55" si="9">D81/D$91</f>
        <v>0</v>
      </c>
      <c r="E54" s="283">
        <f t="shared" si="9"/>
        <v>0</v>
      </c>
      <c r="F54" s="283">
        <f t="shared" si="9"/>
        <v>0</v>
      </c>
      <c r="G54" s="283">
        <f t="shared" si="9"/>
        <v>0</v>
      </c>
      <c r="H54" s="283">
        <f t="shared" si="9"/>
        <v>0</v>
      </c>
      <c r="I54" s="194"/>
      <c r="J54" s="284">
        <f>AVERAGE(D81:INDEX(D81:H81,0,MATCH(Data!$B$3,$D$7:$H$7,0)))/AVERAGE($D$91:INDEX($D$91:$H$91,0,MATCH(Data!$B$3,$D$7:$H$7,0)))</f>
        <v>0</v>
      </c>
      <c r="K54" s="285">
        <f t="shared" si="8"/>
        <v>0</v>
      </c>
      <c r="L54" s="504"/>
      <c r="M54" s="505"/>
      <c r="N54" s="256"/>
      <c r="O54" s="256"/>
      <c r="P54" s="256"/>
      <c r="Q54" s="256"/>
      <c r="R54" s="256"/>
      <c r="S54" s="256"/>
      <c r="T54" s="256"/>
      <c r="U54" s="256"/>
      <c r="V54" s="256"/>
      <c r="W54" s="256"/>
    </row>
    <row r="55" spans="1:23">
      <c r="A55" s="342"/>
      <c r="B55" s="276" t="s">
        <v>121</v>
      </c>
      <c r="C55" s="277" t="s">
        <v>163</v>
      </c>
      <c r="D55" s="282">
        <f t="shared" si="9"/>
        <v>-1.1371355892711507E-4</v>
      </c>
      <c r="E55" s="283">
        <f t="shared" si="9"/>
        <v>0</v>
      </c>
      <c r="F55" s="283">
        <f t="shared" si="9"/>
        <v>0</v>
      </c>
      <c r="G55" s="283">
        <f t="shared" si="9"/>
        <v>0</v>
      </c>
      <c r="H55" s="283">
        <f t="shared" si="9"/>
        <v>0</v>
      </c>
      <c r="I55" s="194"/>
      <c r="J55" s="284">
        <f>AVERAGE(D82:INDEX(D82:H82,0,MATCH(Data!$B$3,$D$7:$H$7,0)))/AVERAGE($D$91:INDEX($D$91:$H$91,0,MATCH(Data!$B$3,$D$7:$H$7,0)))</f>
        <v>-1.1371355892711507E-4</v>
      </c>
      <c r="K55" s="285">
        <f t="shared" si="8"/>
        <v>-2.1044974212710232E-5</v>
      </c>
      <c r="L55" s="504"/>
      <c r="M55" s="505"/>
      <c r="N55" s="256"/>
      <c r="O55" s="256"/>
      <c r="P55" s="256"/>
      <c r="Q55" s="256"/>
      <c r="R55" s="256"/>
      <c r="S55" s="256"/>
      <c r="T55" s="256"/>
      <c r="U55" s="256"/>
      <c r="V55" s="256"/>
      <c r="W55" s="256"/>
    </row>
    <row r="56" spans="1:23">
      <c r="A56" s="342"/>
      <c r="B56" s="279" t="s">
        <v>122</v>
      </c>
      <c r="C56" s="281" t="s">
        <v>163</v>
      </c>
      <c r="D56" s="324">
        <f>SUM(D38:D55)</f>
        <v>5.5990674361003016E-2</v>
      </c>
      <c r="E56" s="324">
        <f t="shared" ref="E56:K56" si="10">SUM(E38:E55)</f>
        <v>6.1606273677084739E-2</v>
      </c>
      <c r="F56" s="324">
        <f t="shared" si="10"/>
        <v>5.8872582056490472E-2</v>
      </c>
      <c r="G56" s="324">
        <f t="shared" si="10"/>
        <v>6.0201446341347435E-2</v>
      </c>
      <c r="H56" s="324">
        <f t="shared" si="10"/>
        <v>6.6174986388784676E-2</v>
      </c>
      <c r="I56" s="287"/>
      <c r="J56" s="324">
        <f t="shared" si="10"/>
        <v>5.5990674361003016E-2</v>
      </c>
      <c r="K56" s="324">
        <f t="shared" si="10"/>
        <v>6.0716655399369442E-2</v>
      </c>
      <c r="L56" s="514"/>
      <c r="M56" s="505"/>
      <c r="N56" s="256"/>
      <c r="O56" s="256"/>
      <c r="P56" s="256"/>
      <c r="Q56" s="256"/>
      <c r="R56" s="256"/>
      <c r="S56" s="256"/>
      <c r="T56" s="256"/>
      <c r="U56" s="256"/>
      <c r="V56" s="256"/>
      <c r="W56" s="256"/>
    </row>
    <row r="57" spans="1:23">
      <c r="A57" s="342"/>
      <c r="B57" s="276" t="s">
        <v>173</v>
      </c>
      <c r="C57" s="277" t="s">
        <v>163</v>
      </c>
      <c r="D57" s="282">
        <f>(D84+D85)/D$91</f>
        <v>7.6833448047377947E-2</v>
      </c>
      <c r="E57" s="283">
        <f t="shared" ref="E57:H57" si="11">(E84+E85)/E$91</f>
        <v>7.0806898693940908E-3</v>
      </c>
      <c r="F57" s="283">
        <f t="shared" si="11"/>
        <v>-4.7919149277400545E-3</v>
      </c>
      <c r="G57" s="283">
        <f t="shared" si="11"/>
        <v>4.5724517703607153E-3</v>
      </c>
      <c r="H57" s="283">
        <f t="shared" si="11"/>
        <v>1.2200580094665493E-2</v>
      </c>
      <c r="I57" s="194"/>
      <c r="J57" s="284">
        <f>(AVERAGE(D84:INDEX(D84:H84,0,MATCH(Data!$B$3,$D$7:$H$7,0)))+AVERAGE(D85:INDEX(D85:H85,0,MATCH(Data!$B$3,$D$7:$H$7,0))))/AVERAGE($D$91:INDEX($D$91:$H$91,0,MATCH(Data!$B$3,$D$7:$H$7,0)))</f>
        <v>7.6833448047377947E-2</v>
      </c>
      <c r="K57" s="285">
        <f>(AVERAGE(D84:H84)+AVERAGE(D85:H85))/AVERAGE($D$91:$H$91)</f>
        <v>1.8199268990903867E-2</v>
      </c>
      <c r="L57" s="504"/>
      <c r="M57" s="505"/>
      <c r="N57" s="256"/>
      <c r="O57" s="256"/>
      <c r="P57" s="256"/>
      <c r="Q57" s="256"/>
      <c r="R57" s="256"/>
      <c r="S57" s="256"/>
      <c r="T57" s="256"/>
      <c r="U57" s="256"/>
      <c r="V57" s="256"/>
      <c r="W57" s="256"/>
    </row>
    <row r="58" spans="1:23">
      <c r="A58" s="342"/>
      <c r="B58" s="276" t="s">
        <v>174</v>
      </c>
      <c r="C58" s="277" t="s">
        <v>163</v>
      </c>
      <c r="D58" s="282">
        <f>(D86+D87)/D$91</f>
        <v>-4.1819977220654871E-3</v>
      </c>
      <c r="E58" s="283">
        <f t="shared" ref="E58:H58" si="12">(E86+E87)/E$91</f>
        <v>1.7495596116195739E-3</v>
      </c>
      <c r="F58" s="283">
        <f t="shared" si="12"/>
        <v>9.859168242121177E-4</v>
      </c>
      <c r="G58" s="283">
        <f t="shared" si="12"/>
        <v>2.3592434882649787E-4</v>
      </c>
      <c r="H58" s="283">
        <f t="shared" si="12"/>
        <v>9.3606419482736053E-4</v>
      </c>
      <c r="I58" s="194"/>
      <c r="J58" s="284">
        <f>(AVERAGE(D86:INDEX(D86:H86,0,MATCH(Data!$B$3,$D$7:$H$7,0)))+AVERAGE(D87:INDEX(D87:H87,0,MATCH(Data!$B$3,$D$7:$H$7,0))))/AVERAGE($D$91:INDEX($D$91:$H$91,0,MATCH(Data!$B$3,$D$7:$H$7,0)))</f>
        <v>-4.1819977220654871E-3</v>
      </c>
      <c r="K58" s="285">
        <f>(AVERAGE(D86:H86)+AVERAGE(D87:H87))/AVERAGE($D$91:$H$91)</f>
        <v>7.7106230923537606E-6</v>
      </c>
      <c r="L58" s="504"/>
      <c r="M58" s="505"/>
      <c r="N58" s="256"/>
      <c r="O58" s="256"/>
      <c r="P58" s="256"/>
      <c r="Q58" s="256"/>
      <c r="R58" s="256"/>
      <c r="S58" s="256"/>
      <c r="T58" s="256"/>
      <c r="U58" s="256"/>
      <c r="V58" s="256"/>
      <c r="W58" s="256"/>
    </row>
    <row r="59" spans="1:23">
      <c r="A59" s="342"/>
      <c r="B59" s="279" t="s">
        <v>125</v>
      </c>
      <c r="C59" s="281" t="s">
        <v>163</v>
      </c>
      <c r="D59" s="151">
        <f>SUM(D56:D58)</f>
        <v>0.12864212468631547</v>
      </c>
      <c r="E59" s="325">
        <f t="shared" ref="E59:K59" si="13">SUM(E56:E58)</f>
        <v>7.0436523158098396E-2</v>
      </c>
      <c r="F59" s="325">
        <f t="shared" si="13"/>
        <v>5.5066583952962538E-2</v>
      </c>
      <c r="G59" s="325">
        <f t="shared" si="13"/>
        <v>6.5009822460534647E-2</v>
      </c>
      <c r="H59" s="325">
        <f t="shared" si="13"/>
        <v>7.9311630678277539E-2</v>
      </c>
      <c r="I59" s="287"/>
      <c r="J59" s="325">
        <f t="shared" si="13"/>
        <v>0.12864212468631547</v>
      </c>
      <c r="K59" s="325">
        <f t="shared" si="13"/>
        <v>7.8923635013365662E-2</v>
      </c>
      <c r="L59" s="514"/>
      <c r="M59" s="505"/>
      <c r="N59" s="256"/>
      <c r="O59" s="256"/>
      <c r="P59" s="256"/>
      <c r="Q59" s="256"/>
      <c r="R59" s="256"/>
      <c r="S59" s="256"/>
      <c r="T59" s="256"/>
      <c r="U59" s="256"/>
      <c r="V59" s="256"/>
      <c r="W59" s="256"/>
    </row>
    <row r="60" spans="1:23">
      <c r="A60" s="342"/>
      <c r="B60" s="288"/>
      <c r="C60" s="281"/>
      <c r="D60" s="289"/>
      <c r="E60" s="289"/>
      <c r="F60" s="289"/>
      <c r="G60" s="289"/>
      <c r="H60" s="289"/>
      <c r="I60" s="280"/>
      <c r="J60" s="280"/>
      <c r="K60" s="289"/>
      <c r="L60" s="505"/>
      <c r="M60" s="505"/>
      <c r="N60" s="256"/>
      <c r="O60" s="256"/>
      <c r="P60" s="256"/>
      <c r="Q60" s="256"/>
      <c r="R60" s="256"/>
      <c r="S60" s="256"/>
      <c r="T60" s="256"/>
      <c r="U60" s="256"/>
      <c r="V60" s="256"/>
      <c r="W60" s="256"/>
    </row>
    <row r="61" spans="1:23">
      <c r="A61" s="342"/>
      <c r="B61" s="288"/>
      <c r="C61" s="281"/>
      <c r="D61" s="289"/>
      <c r="E61" s="289"/>
      <c r="F61" s="289"/>
      <c r="G61" s="289"/>
      <c r="H61" s="289"/>
      <c r="I61" s="511"/>
      <c r="J61" s="511"/>
      <c r="K61" s="289"/>
      <c r="L61" s="505"/>
      <c r="M61" s="505"/>
      <c r="N61" s="256"/>
      <c r="O61" s="256"/>
      <c r="P61" s="256"/>
      <c r="Q61" s="256"/>
      <c r="R61" s="256"/>
      <c r="S61" s="256"/>
      <c r="T61" s="256"/>
      <c r="U61" s="256"/>
      <c r="V61" s="256"/>
      <c r="W61" s="256"/>
    </row>
    <row r="62" spans="1:23">
      <c r="A62" s="342"/>
      <c r="B62" s="290" t="s">
        <v>175</v>
      </c>
      <c r="C62" s="291"/>
      <c r="D62" s="292"/>
      <c r="E62" s="292"/>
      <c r="F62" s="292"/>
      <c r="G62" s="292"/>
      <c r="H62" s="292"/>
      <c r="I62" s="512"/>
      <c r="J62" s="512"/>
      <c r="K62" s="292"/>
      <c r="L62" s="513"/>
      <c r="M62" s="513"/>
      <c r="N62" s="256"/>
      <c r="O62" s="256"/>
      <c r="P62" s="256"/>
      <c r="Q62" s="256"/>
      <c r="R62" s="256"/>
      <c r="S62" s="256"/>
      <c r="T62" s="256"/>
      <c r="U62" s="256"/>
      <c r="V62" s="256"/>
      <c r="W62" s="256"/>
    </row>
    <row r="63" spans="1:23">
      <c r="A63" s="342"/>
      <c r="B63" s="293" t="s">
        <v>227</v>
      </c>
      <c r="C63" s="294"/>
      <c r="D63" s="294"/>
      <c r="E63" s="294"/>
      <c r="F63" s="294"/>
      <c r="G63" s="294"/>
      <c r="H63" s="294"/>
      <c r="I63" s="510"/>
      <c r="J63" s="510"/>
      <c r="K63" s="294"/>
      <c r="L63" s="510"/>
      <c r="M63" s="510"/>
      <c r="N63" s="256"/>
      <c r="O63" s="256"/>
      <c r="P63" s="256"/>
      <c r="Q63" s="256"/>
      <c r="R63" s="256"/>
      <c r="S63" s="256"/>
      <c r="T63" s="256"/>
      <c r="U63" s="256"/>
      <c r="V63" s="256"/>
      <c r="W63" s="256"/>
    </row>
    <row r="64" spans="1:23">
      <c r="A64" s="342"/>
      <c r="B64" s="265"/>
      <c r="C64" s="256"/>
      <c r="D64" s="256"/>
      <c r="E64" s="256"/>
      <c r="F64" s="256"/>
      <c r="G64" s="256"/>
      <c r="H64" s="256"/>
      <c r="I64" s="505"/>
      <c r="J64" s="505"/>
      <c r="K64" s="256"/>
      <c r="L64" s="505"/>
      <c r="M64" s="505"/>
      <c r="N64" s="256"/>
      <c r="O64" s="256"/>
      <c r="P64" s="256"/>
      <c r="Q64" s="256"/>
      <c r="R64" s="256"/>
      <c r="S64" s="256"/>
      <c r="T64" s="256"/>
      <c r="U64" s="256"/>
      <c r="V64" s="256"/>
      <c r="W64" s="256"/>
    </row>
    <row r="65" spans="1:23">
      <c r="B65" s="295" t="s">
        <v>177</v>
      </c>
      <c r="C65" s="104" t="s">
        <v>228</v>
      </c>
      <c r="D65" s="326">
        <v>86.950147970761378</v>
      </c>
      <c r="E65" s="326">
        <v>94.747452386536679</v>
      </c>
      <c r="F65" s="326">
        <v>97.9395527097941</v>
      </c>
      <c r="G65" s="326">
        <v>102.47548402718085</v>
      </c>
      <c r="H65" s="326">
        <v>106.95141093391722</v>
      </c>
      <c r="I65" s="265"/>
      <c r="J65" s="326">
        <v>86.950147970761378</v>
      </c>
      <c r="K65" s="326">
        <v>489.0640480281902</v>
      </c>
      <c r="L65" s="508"/>
      <c r="M65" s="507"/>
      <c r="N65" s="256"/>
      <c r="O65" s="256"/>
      <c r="P65" s="256"/>
      <c r="Q65" s="256"/>
      <c r="R65" s="256"/>
      <c r="S65" s="256"/>
      <c r="T65" s="256"/>
      <c r="U65" s="256"/>
      <c r="V65" s="256"/>
      <c r="W65" s="256"/>
    </row>
    <row r="66" spans="1:23">
      <c r="B66" s="295" t="s">
        <v>108</v>
      </c>
      <c r="C66" s="104" t="s">
        <v>228</v>
      </c>
      <c r="D66" s="326">
        <v>0</v>
      </c>
      <c r="E66" s="326">
        <v>0</v>
      </c>
      <c r="F66" s="326">
        <v>0</v>
      </c>
      <c r="G66" s="326">
        <v>0</v>
      </c>
      <c r="H66" s="326">
        <v>0</v>
      </c>
      <c r="I66" s="265"/>
      <c r="J66" s="326">
        <v>0</v>
      </c>
      <c r="K66" s="326">
        <v>0</v>
      </c>
      <c r="L66" s="508"/>
      <c r="M66" s="507"/>
      <c r="N66" s="256"/>
      <c r="O66" s="256"/>
      <c r="P66" s="256"/>
      <c r="Q66" s="256"/>
      <c r="R66" s="256"/>
      <c r="S66" s="256"/>
      <c r="T66" s="256"/>
      <c r="U66" s="256"/>
      <c r="V66" s="256"/>
      <c r="W66" s="256"/>
    </row>
    <row r="67" spans="1:23">
      <c r="A67" s="314" t="s">
        <v>212</v>
      </c>
      <c r="B67" s="295" t="s">
        <v>109</v>
      </c>
      <c r="C67" s="104" t="s">
        <v>228</v>
      </c>
      <c r="D67" s="326">
        <v>0</v>
      </c>
      <c r="E67" s="326">
        <v>0</v>
      </c>
      <c r="F67" s="326">
        <v>0</v>
      </c>
      <c r="G67" s="326">
        <v>0</v>
      </c>
      <c r="H67" s="326">
        <v>0</v>
      </c>
      <c r="I67" s="265"/>
      <c r="J67" s="326">
        <v>0</v>
      </c>
      <c r="K67" s="326">
        <v>0</v>
      </c>
      <c r="L67" s="508"/>
      <c r="M67" s="507"/>
      <c r="N67" s="256"/>
      <c r="O67" s="256"/>
      <c r="P67" s="256"/>
      <c r="Q67" s="256"/>
      <c r="R67" s="256"/>
      <c r="S67" s="256"/>
      <c r="T67" s="256"/>
      <c r="U67" s="256"/>
      <c r="V67" s="256"/>
      <c r="W67" s="256"/>
    </row>
    <row r="68" spans="1:23">
      <c r="A68" s="343" t="s">
        <v>213</v>
      </c>
      <c r="B68" s="295" t="s">
        <v>110</v>
      </c>
      <c r="C68" s="298" t="s">
        <v>228</v>
      </c>
      <c r="D68" s="326">
        <v>0.5416321857500237</v>
      </c>
      <c r="E68" s="326">
        <v>0.57058859999999956</v>
      </c>
      <c r="F68" s="326">
        <v>0.57058859999999956</v>
      </c>
      <c r="G68" s="326">
        <v>0.57058859999999956</v>
      </c>
      <c r="H68" s="326">
        <v>0.57058859999999956</v>
      </c>
      <c r="I68" s="327"/>
      <c r="J68" s="326">
        <v>0.5416321857500237</v>
      </c>
      <c r="K68" s="326">
        <v>2.8239865857500219</v>
      </c>
      <c r="L68" s="508"/>
      <c r="M68" s="507"/>
      <c r="N68" s="256"/>
      <c r="O68" s="256"/>
      <c r="P68" s="256"/>
      <c r="Q68" s="256"/>
      <c r="R68" s="256"/>
      <c r="S68" s="256"/>
      <c r="T68" s="256"/>
      <c r="U68" s="256"/>
      <c r="V68" s="256"/>
      <c r="W68" s="256"/>
    </row>
    <row r="69" spans="1:23">
      <c r="A69" s="343" t="s">
        <v>214</v>
      </c>
      <c r="B69" s="295" t="s">
        <v>111</v>
      </c>
      <c r="C69" s="298" t="s">
        <v>228</v>
      </c>
      <c r="D69" s="326">
        <v>1.625026328792631</v>
      </c>
      <c r="E69" s="326">
        <v>3.3769600000000031</v>
      </c>
      <c r="F69" s="326">
        <v>4.6433200000000134</v>
      </c>
      <c r="G69" s="326">
        <v>5.9096800000000238</v>
      </c>
      <c r="H69" s="326">
        <v>7.02</v>
      </c>
      <c r="I69" s="327"/>
      <c r="J69" s="326">
        <v>1.625026328792631</v>
      </c>
      <c r="K69" s="326">
        <v>22.574986328792672</v>
      </c>
      <c r="L69" s="508"/>
      <c r="M69" s="507"/>
      <c r="N69" s="256"/>
      <c r="O69" s="256"/>
      <c r="P69" s="256"/>
      <c r="Q69" s="256"/>
      <c r="R69" s="256"/>
      <c r="S69" s="256"/>
      <c r="T69" s="256"/>
      <c r="U69" s="256"/>
      <c r="V69" s="256"/>
      <c r="W69" s="256"/>
    </row>
    <row r="70" spans="1:23">
      <c r="A70" s="343" t="s">
        <v>215</v>
      </c>
      <c r="B70" s="295" t="s">
        <v>112</v>
      </c>
      <c r="C70" s="298" t="s">
        <v>228</v>
      </c>
      <c r="D70" s="326">
        <v>2.7059025430429648</v>
      </c>
      <c r="E70" s="326">
        <v>2.5034349999999961</v>
      </c>
      <c r="F70" s="326">
        <v>2.5025799999999987</v>
      </c>
      <c r="G70" s="326">
        <v>2.5062850000000001</v>
      </c>
      <c r="H70" s="326">
        <v>2.5021999999999998</v>
      </c>
      <c r="I70" s="327"/>
      <c r="J70" s="326">
        <v>2.7059025430429648</v>
      </c>
      <c r="K70" s="326">
        <v>12.720402543042958</v>
      </c>
      <c r="L70" s="508"/>
      <c r="M70" s="507"/>
      <c r="N70" s="256"/>
      <c r="O70" s="256"/>
      <c r="P70" s="256"/>
      <c r="Q70" s="256"/>
      <c r="R70" s="256"/>
      <c r="S70" s="256"/>
      <c r="T70" s="256"/>
      <c r="U70" s="256"/>
      <c r="V70" s="256"/>
      <c r="W70" s="256"/>
    </row>
    <row r="71" spans="1:23">
      <c r="A71" s="343" t="s">
        <v>216</v>
      </c>
      <c r="B71" s="295" t="s">
        <v>113</v>
      </c>
      <c r="C71" s="298" t="s">
        <v>228</v>
      </c>
      <c r="D71" s="326">
        <v>0</v>
      </c>
      <c r="E71" s="326">
        <v>0</v>
      </c>
      <c r="F71" s="326">
        <v>0</v>
      </c>
      <c r="G71" s="326">
        <v>0</v>
      </c>
      <c r="H71" s="326">
        <v>0</v>
      </c>
      <c r="I71" s="327"/>
      <c r="J71" s="326">
        <v>0</v>
      </c>
      <c r="K71" s="326">
        <v>0</v>
      </c>
      <c r="L71" s="508"/>
      <c r="M71" s="507"/>
      <c r="N71" s="256"/>
      <c r="O71" s="256"/>
      <c r="P71" s="256"/>
      <c r="Q71" s="256"/>
      <c r="R71" s="256"/>
      <c r="S71" s="256"/>
      <c r="T71" s="256"/>
      <c r="U71" s="256"/>
      <c r="V71" s="256"/>
      <c r="W71" s="256"/>
    </row>
    <row r="72" spans="1:23">
      <c r="A72" s="343" t="s">
        <v>217</v>
      </c>
      <c r="B72" s="295" t="s">
        <v>114</v>
      </c>
      <c r="C72" s="298" t="s">
        <v>228</v>
      </c>
      <c r="D72" s="326">
        <v>0</v>
      </c>
      <c r="E72" s="326">
        <v>3.2571300000000005</v>
      </c>
      <c r="F72" s="326">
        <v>0</v>
      </c>
      <c r="G72" s="326">
        <v>0</v>
      </c>
      <c r="H72" s="326">
        <v>10.450941789268112</v>
      </c>
      <c r="I72" s="327"/>
      <c r="J72" s="326">
        <v>0</v>
      </c>
      <c r="K72" s="326">
        <v>13.708071789268114</v>
      </c>
      <c r="L72" s="508"/>
      <c r="M72" s="507"/>
      <c r="N72" s="256"/>
      <c r="O72" s="256"/>
      <c r="P72" s="256"/>
      <c r="Q72" s="256"/>
      <c r="R72" s="256"/>
      <c r="S72" s="256"/>
      <c r="T72" s="256"/>
      <c r="U72" s="256"/>
      <c r="V72" s="256"/>
      <c r="W72" s="256"/>
    </row>
    <row r="73" spans="1:23">
      <c r="A73" s="314" t="s">
        <v>218</v>
      </c>
      <c r="B73" s="295" t="s">
        <v>115</v>
      </c>
      <c r="C73" s="104" t="s">
        <v>228</v>
      </c>
      <c r="D73" s="326">
        <v>0.59716799999999992</v>
      </c>
      <c r="E73" s="326">
        <v>0</v>
      </c>
      <c r="F73" s="326">
        <v>0</v>
      </c>
      <c r="G73" s="326">
        <v>0</v>
      </c>
      <c r="H73" s="326">
        <v>0</v>
      </c>
      <c r="I73" s="327"/>
      <c r="J73" s="326">
        <v>0.59716799999999992</v>
      </c>
      <c r="K73" s="326">
        <v>0.59716799999999992</v>
      </c>
      <c r="L73" s="508"/>
      <c r="M73" s="507"/>
      <c r="N73" s="256"/>
      <c r="O73" s="256"/>
      <c r="P73" s="256"/>
      <c r="Q73" s="256"/>
      <c r="R73" s="256"/>
      <c r="S73" s="256"/>
      <c r="T73" s="256"/>
      <c r="U73" s="256"/>
      <c r="V73" s="256"/>
      <c r="W73" s="256"/>
    </row>
    <row r="74" spans="1:23">
      <c r="A74" s="314" t="s">
        <v>219</v>
      </c>
      <c r="B74" s="295" t="s">
        <v>118</v>
      </c>
      <c r="C74" s="104" t="s">
        <v>228</v>
      </c>
      <c r="D74" s="326">
        <v>-1.4804093196054687E-2</v>
      </c>
      <c r="E74" s="326">
        <v>-0.31455426188849339</v>
      </c>
      <c r="F74" s="326">
        <v>-0.78064164491545207</v>
      </c>
      <c r="G74" s="326">
        <v>0</v>
      </c>
      <c r="H74" s="326">
        <v>0</v>
      </c>
      <c r="I74" s="265"/>
      <c r="J74" s="326">
        <v>-1.4804093196054687E-2</v>
      </c>
      <c r="K74" s="326">
        <v>-1.1100000000000001</v>
      </c>
      <c r="L74" s="508"/>
      <c r="M74" s="507"/>
      <c r="N74" s="256"/>
      <c r="O74" s="256"/>
      <c r="P74" s="256"/>
      <c r="Q74" s="256"/>
      <c r="R74" s="256"/>
      <c r="S74" s="256"/>
      <c r="T74" s="256"/>
      <c r="U74" s="256"/>
      <c r="V74" s="256"/>
      <c r="W74" s="256"/>
    </row>
    <row r="75" spans="1:23">
      <c r="A75" s="314" t="s">
        <v>220</v>
      </c>
      <c r="B75" s="295" t="s">
        <v>119</v>
      </c>
      <c r="C75" s="104" t="s">
        <v>228</v>
      </c>
      <c r="D75" s="326">
        <v>0</v>
      </c>
      <c r="E75" s="326">
        <v>0</v>
      </c>
      <c r="F75" s="326">
        <v>0</v>
      </c>
      <c r="G75" s="326">
        <v>0</v>
      </c>
      <c r="H75" s="326">
        <v>0</v>
      </c>
      <c r="I75" s="265"/>
      <c r="J75" s="326">
        <v>0</v>
      </c>
      <c r="K75" s="326">
        <v>0</v>
      </c>
      <c r="L75" s="508"/>
      <c r="M75" s="507"/>
      <c r="N75" s="256"/>
      <c r="O75" s="256"/>
      <c r="P75" s="256"/>
      <c r="Q75" s="256"/>
      <c r="R75" s="256"/>
      <c r="S75" s="256"/>
      <c r="T75" s="256"/>
      <c r="U75" s="256"/>
      <c r="V75" s="256"/>
      <c r="W75" s="256"/>
    </row>
    <row r="76" spans="1:23">
      <c r="A76" s="314" t="s">
        <v>221</v>
      </c>
      <c r="B76" s="295" t="s">
        <v>120</v>
      </c>
      <c r="C76" s="104" t="s">
        <v>228</v>
      </c>
      <c r="D76" s="326">
        <v>-3.1560654176424667E-2</v>
      </c>
      <c r="E76" s="326">
        <v>0</v>
      </c>
      <c r="F76" s="326">
        <v>0</v>
      </c>
      <c r="G76" s="326">
        <v>0</v>
      </c>
      <c r="H76" s="326">
        <v>0</v>
      </c>
      <c r="I76" s="265"/>
      <c r="J76" s="326">
        <v>-3.1560654176424667E-2</v>
      </c>
      <c r="K76" s="326">
        <v>-3.1560654176424667E-2</v>
      </c>
      <c r="L76" s="508"/>
      <c r="M76" s="507"/>
      <c r="N76" s="256"/>
      <c r="O76" s="256"/>
      <c r="P76" s="256"/>
      <c r="Q76" s="256"/>
      <c r="R76" s="256"/>
      <c r="S76" s="256"/>
      <c r="T76" s="256"/>
      <c r="U76" s="256"/>
      <c r="V76" s="256"/>
      <c r="W76" s="256"/>
    </row>
    <row r="77" spans="1:23">
      <c r="A77" s="314" t="s">
        <v>222</v>
      </c>
      <c r="B77" s="295"/>
      <c r="C77" s="104" t="s">
        <v>228</v>
      </c>
      <c r="D77" s="326">
        <v>0</v>
      </c>
      <c r="E77" s="326">
        <v>0</v>
      </c>
      <c r="F77" s="326">
        <v>0</v>
      </c>
      <c r="G77" s="326">
        <v>0</v>
      </c>
      <c r="H77" s="326">
        <v>0</v>
      </c>
      <c r="I77" s="265"/>
      <c r="J77" s="326">
        <v>0</v>
      </c>
      <c r="K77" s="326">
        <v>0</v>
      </c>
      <c r="L77" s="508"/>
      <c r="M77" s="507"/>
      <c r="N77" s="256"/>
      <c r="O77" s="256"/>
      <c r="P77" s="256"/>
      <c r="Q77" s="256"/>
      <c r="R77" s="256"/>
      <c r="S77" s="256"/>
      <c r="T77" s="256"/>
      <c r="U77" s="256"/>
      <c r="V77" s="256"/>
      <c r="W77" s="256"/>
    </row>
    <row r="78" spans="1:23">
      <c r="A78" s="314" t="s">
        <v>223</v>
      </c>
      <c r="B78" s="295"/>
      <c r="C78" s="104" t="s">
        <v>228</v>
      </c>
      <c r="D78" s="326">
        <v>0</v>
      </c>
      <c r="E78" s="326">
        <v>0</v>
      </c>
      <c r="F78" s="326">
        <v>0</v>
      </c>
      <c r="G78" s="326">
        <v>0</v>
      </c>
      <c r="H78" s="326">
        <v>0</v>
      </c>
      <c r="I78" s="265"/>
      <c r="J78" s="326">
        <v>0</v>
      </c>
      <c r="K78" s="326">
        <v>0</v>
      </c>
      <c r="L78" s="508"/>
      <c r="M78" s="507"/>
      <c r="N78" s="256"/>
      <c r="O78" s="256"/>
      <c r="P78" s="256"/>
      <c r="Q78" s="256"/>
      <c r="R78" s="256"/>
      <c r="S78" s="256"/>
      <c r="T78" s="256"/>
      <c r="U78" s="256"/>
      <c r="V78" s="256"/>
      <c r="W78" s="256"/>
    </row>
    <row r="79" spans="1:23">
      <c r="A79" s="314" t="s">
        <v>224</v>
      </c>
      <c r="B79" s="295"/>
      <c r="C79" s="104" t="s">
        <v>228</v>
      </c>
      <c r="D79" s="326">
        <v>0</v>
      </c>
      <c r="E79" s="326">
        <v>0</v>
      </c>
      <c r="F79" s="326">
        <v>0</v>
      </c>
      <c r="G79" s="326">
        <v>0</v>
      </c>
      <c r="H79" s="326">
        <v>0</v>
      </c>
      <c r="I79" s="265"/>
      <c r="J79" s="326">
        <v>0</v>
      </c>
      <c r="K79" s="326">
        <v>0</v>
      </c>
      <c r="L79" s="508"/>
      <c r="M79" s="507"/>
      <c r="N79" s="256"/>
      <c r="O79" s="256"/>
      <c r="P79" s="256"/>
      <c r="Q79" s="256"/>
      <c r="R79" s="256"/>
      <c r="S79" s="256"/>
      <c r="T79" s="256"/>
      <c r="U79" s="256"/>
      <c r="V79" s="256"/>
      <c r="W79" s="256"/>
    </row>
    <row r="80" spans="1:23">
      <c r="A80" s="314" t="s">
        <v>225</v>
      </c>
      <c r="B80" s="295"/>
      <c r="C80" s="104" t="s">
        <v>228</v>
      </c>
      <c r="D80" s="326">
        <v>0</v>
      </c>
      <c r="E80" s="326">
        <v>0</v>
      </c>
      <c r="F80" s="326">
        <v>0</v>
      </c>
      <c r="G80" s="326">
        <v>0</v>
      </c>
      <c r="H80" s="326">
        <v>0</v>
      </c>
      <c r="I80" s="265"/>
      <c r="J80" s="326">
        <v>0</v>
      </c>
      <c r="K80" s="326">
        <v>0</v>
      </c>
      <c r="L80" s="508"/>
      <c r="M80" s="507"/>
      <c r="N80" s="256"/>
      <c r="O80" s="256"/>
      <c r="P80" s="256"/>
      <c r="Q80" s="256"/>
      <c r="R80" s="256"/>
      <c r="S80" s="256"/>
      <c r="T80" s="256"/>
      <c r="U80" s="256"/>
      <c r="V80" s="256"/>
      <c r="W80" s="256"/>
    </row>
    <row r="81" spans="1:23">
      <c r="A81" s="314" t="s">
        <v>226</v>
      </c>
      <c r="B81" s="295"/>
      <c r="C81" s="104" t="s">
        <v>228</v>
      </c>
      <c r="D81" s="326">
        <v>0</v>
      </c>
      <c r="E81" s="326">
        <v>0</v>
      </c>
      <c r="F81" s="326">
        <v>0</v>
      </c>
      <c r="G81" s="326">
        <v>0</v>
      </c>
      <c r="H81" s="326">
        <v>0</v>
      </c>
      <c r="I81" s="265"/>
      <c r="J81" s="326">
        <v>0</v>
      </c>
      <c r="K81" s="326">
        <v>0</v>
      </c>
      <c r="L81" s="508"/>
      <c r="M81" s="507"/>
      <c r="N81" s="256"/>
      <c r="O81" s="256"/>
      <c r="P81" s="256"/>
      <c r="Q81" s="256"/>
      <c r="R81" s="256"/>
      <c r="S81" s="256"/>
      <c r="T81" s="256"/>
      <c r="U81" s="256"/>
      <c r="V81" s="256"/>
      <c r="W81" s="256"/>
    </row>
    <row r="82" spans="1:23">
      <c r="B82" s="295" t="s">
        <v>121</v>
      </c>
      <c r="C82" s="104" t="s">
        <v>228</v>
      </c>
      <c r="D82" s="326">
        <v>-0.18722458655209342</v>
      </c>
      <c r="E82" s="326">
        <v>0</v>
      </c>
      <c r="F82" s="326">
        <v>0</v>
      </c>
      <c r="G82" s="326">
        <v>0</v>
      </c>
      <c r="H82" s="326">
        <v>0</v>
      </c>
      <c r="I82" s="265"/>
      <c r="J82" s="326">
        <v>-0.18722458655209342</v>
      </c>
      <c r="K82" s="326">
        <v>-0.18722458655209342</v>
      </c>
      <c r="L82" s="508"/>
      <c r="M82" s="507"/>
      <c r="N82" s="256"/>
      <c r="O82" s="256"/>
      <c r="P82" s="256"/>
      <c r="Q82" s="256"/>
      <c r="R82" s="256"/>
      <c r="S82" s="256"/>
      <c r="T82" s="256"/>
      <c r="U82" s="256"/>
      <c r="V82" s="256"/>
      <c r="W82" s="256"/>
    </row>
    <row r="83" spans="1:23">
      <c r="A83" s="344"/>
      <c r="B83" s="300" t="s">
        <v>122</v>
      </c>
      <c r="C83" s="104" t="s">
        <v>228</v>
      </c>
      <c r="D83" s="328">
        <v>92.186287694422418</v>
      </c>
      <c r="E83" s="328">
        <v>104.14101172464819</v>
      </c>
      <c r="F83" s="328">
        <v>104.87539966487864</v>
      </c>
      <c r="G83" s="328">
        <v>111.46203762718088</v>
      </c>
      <c r="H83" s="328">
        <v>127.49514132318532</v>
      </c>
      <c r="I83" s="329"/>
      <c r="J83" s="328">
        <v>92.186287694422418</v>
      </c>
      <c r="K83" s="328">
        <v>540.15987803431551</v>
      </c>
      <c r="L83" s="509"/>
      <c r="M83" s="507"/>
      <c r="N83" s="256"/>
      <c r="O83" s="256"/>
      <c r="P83" s="256"/>
      <c r="Q83" s="256"/>
      <c r="R83" s="256"/>
      <c r="S83" s="256"/>
      <c r="T83" s="256"/>
      <c r="U83" s="256"/>
      <c r="V83" s="256"/>
      <c r="W83" s="256"/>
    </row>
    <row r="84" spans="1:23">
      <c r="B84" s="295" t="s">
        <v>123</v>
      </c>
      <c r="C84" s="104" t="s">
        <v>228</v>
      </c>
      <c r="D84" s="326">
        <v>126.27346570655882</v>
      </c>
      <c r="E84" s="326">
        <v>12.117856334275704</v>
      </c>
      <c r="F84" s="326">
        <v>-8.7657435743293988</v>
      </c>
      <c r="G84" s="326">
        <v>8.4942956330215935</v>
      </c>
      <c r="H84" s="326">
        <v>23.52795044414702</v>
      </c>
      <c r="I84" s="265"/>
      <c r="J84" s="326">
        <v>126.27346570655882</v>
      </c>
      <c r="K84" s="326">
        <v>161.64782454367375</v>
      </c>
      <c r="L84" s="508"/>
      <c r="M84" s="507"/>
      <c r="N84" s="256"/>
      <c r="O84" s="256"/>
      <c r="P84" s="256"/>
      <c r="Q84" s="256"/>
      <c r="R84" s="256"/>
      <c r="S84" s="256"/>
      <c r="T84" s="256"/>
      <c r="U84" s="256"/>
      <c r="V84" s="256"/>
      <c r="W84" s="256"/>
    </row>
    <row r="85" spans="1:23">
      <c r="B85" s="295" t="s">
        <v>179</v>
      </c>
      <c r="C85" s="104" t="s">
        <v>228</v>
      </c>
      <c r="D85" s="326">
        <v>0.22957122030625499</v>
      </c>
      <c r="E85" s="326">
        <v>-0.14845512406341399</v>
      </c>
      <c r="F85" s="326">
        <v>0.22944406695231834</v>
      </c>
      <c r="G85" s="326">
        <v>-2.8472596368473546E-2</v>
      </c>
      <c r="H85" s="326">
        <v>-2.1868036280483949E-2</v>
      </c>
      <c r="I85" s="265"/>
      <c r="J85" s="326">
        <v>0.22957122030625499</v>
      </c>
      <c r="K85" s="326">
        <v>0.26021953054620184</v>
      </c>
      <c r="L85" s="508"/>
      <c r="M85" s="507"/>
      <c r="N85" s="256"/>
      <c r="O85" s="256"/>
      <c r="P85" s="256"/>
      <c r="Q85" s="256"/>
      <c r="R85" s="256"/>
      <c r="S85" s="256"/>
      <c r="T85" s="256"/>
      <c r="U85" s="256"/>
      <c r="V85" s="256"/>
      <c r="W85" s="256"/>
    </row>
    <row r="86" spans="1:23">
      <c r="B86" s="295" t="s">
        <v>124</v>
      </c>
      <c r="C86" s="104" t="s">
        <v>228</v>
      </c>
      <c r="D86" s="326">
        <v>-6.8280903498157652</v>
      </c>
      <c r="E86" s="326">
        <v>2.9203919590921861</v>
      </c>
      <c r="F86" s="326">
        <v>1.8136695964494138</v>
      </c>
      <c r="G86" s="326">
        <v>0.42969209790698493</v>
      </c>
      <c r="H86" s="326">
        <v>1.7979883948483959</v>
      </c>
      <c r="I86" s="265"/>
      <c r="J86" s="326">
        <v>-6.8280903498157652</v>
      </c>
      <c r="K86" s="326">
        <v>0.13365169848121594</v>
      </c>
      <c r="L86" s="508"/>
      <c r="M86" s="507"/>
      <c r="N86" s="256"/>
      <c r="O86" s="256"/>
      <c r="P86" s="256"/>
      <c r="Q86" s="256"/>
      <c r="R86" s="256"/>
      <c r="S86" s="256"/>
      <c r="T86" s="256"/>
      <c r="U86" s="256"/>
      <c r="V86" s="256"/>
      <c r="W86" s="256"/>
    </row>
    <row r="87" spans="1:23">
      <c r="B87" s="295" t="s">
        <v>180</v>
      </c>
      <c r="C87" s="104" t="s">
        <v>228</v>
      </c>
      <c r="D87" s="326">
        <v>-5.7392805076566411E-2</v>
      </c>
      <c r="E87" s="326">
        <v>3.711378101585372E-2</v>
      </c>
      <c r="F87" s="326">
        <v>-5.7361016738079695E-2</v>
      </c>
      <c r="G87" s="326">
        <v>7.1181490921186086E-3</v>
      </c>
      <c r="H87" s="326">
        <v>5.4670090701208762E-3</v>
      </c>
      <c r="I87" s="265"/>
      <c r="J87" s="326">
        <v>-5.7392805076566411E-2</v>
      </c>
      <c r="K87" s="326">
        <v>-6.5054882636552902E-2</v>
      </c>
      <c r="L87" s="508"/>
      <c r="M87" s="507"/>
      <c r="N87" s="256"/>
      <c r="O87" s="256"/>
      <c r="P87" s="256"/>
      <c r="Q87" s="256"/>
      <c r="R87" s="256"/>
      <c r="S87" s="256"/>
      <c r="T87" s="256"/>
      <c r="U87" s="256"/>
      <c r="V87" s="256"/>
      <c r="W87" s="256"/>
    </row>
    <row r="88" spans="1:23">
      <c r="A88" s="344"/>
      <c r="B88" s="300" t="s">
        <v>125</v>
      </c>
      <c r="C88" s="104" t="s">
        <v>228</v>
      </c>
      <c r="D88" s="328">
        <v>211.80384146639517</v>
      </c>
      <c r="E88" s="328">
        <v>119.06791867496852</v>
      </c>
      <c r="F88" s="328">
        <v>98.095408737212892</v>
      </c>
      <c r="G88" s="328">
        <v>120.3646709108331</v>
      </c>
      <c r="H88" s="328">
        <v>152.80467913497037</v>
      </c>
      <c r="I88" s="329"/>
      <c r="J88" s="328">
        <v>211.80384146639517</v>
      </c>
      <c r="K88" s="328">
        <v>702.1365189243802</v>
      </c>
      <c r="L88" s="509"/>
      <c r="M88" s="507"/>
      <c r="N88" s="256"/>
      <c r="O88" s="256"/>
      <c r="P88" s="256"/>
      <c r="Q88" s="256"/>
      <c r="R88" s="256"/>
      <c r="S88" s="256"/>
      <c r="T88" s="256"/>
      <c r="U88" s="256"/>
      <c r="V88" s="256"/>
      <c r="W88" s="256"/>
    </row>
    <row r="89" spans="1:23">
      <c r="B89" s="295"/>
      <c r="D89" s="305"/>
      <c r="E89" s="256"/>
      <c r="F89" s="256"/>
      <c r="G89" s="256"/>
      <c r="H89" s="256"/>
      <c r="I89" s="265"/>
      <c r="J89" s="265"/>
      <c r="K89" s="256"/>
      <c r="L89" s="507"/>
      <c r="M89" s="507"/>
      <c r="N89" s="256"/>
      <c r="O89" s="256"/>
      <c r="P89" s="256"/>
      <c r="Q89" s="256"/>
      <c r="R89" s="256"/>
      <c r="S89" s="256"/>
      <c r="T89" s="256"/>
      <c r="U89" s="256"/>
      <c r="V89" s="256"/>
      <c r="W89" s="256"/>
    </row>
    <row r="90" spans="1:23">
      <c r="B90" s="295" t="s">
        <v>181</v>
      </c>
      <c r="C90" s="104" t="s">
        <v>228</v>
      </c>
      <c r="D90" s="326">
        <v>1645.7251037469655</v>
      </c>
      <c r="E90" s="326">
        <v>1695.6899464973815</v>
      </c>
      <c r="F90" s="326">
        <v>1775.0574492118399</v>
      </c>
      <c r="G90" s="326">
        <v>1852.4042037180709</v>
      </c>
      <c r="H90" s="326">
        <v>1927.4263352404034</v>
      </c>
      <c r="I90" s="508"/>
      <c r="J90" s="507"/>
      <c r="K90" s="256"/>
      <c r="L90" s="507"/>
      <c r="M90" s="507"/>
      <c r="N90" s="256"/>
      <c r="O90" s="256"/>
      <c r="P90" s="256"/>
      <c r="Q90" s="256"/>
      <c r="R90" s="256"/>
      <c r="S90" s="256"/>
      <c r="T90" s="256"/>
      <c r="U90" s="256"/>
      <c r="V90" s="256"/>
      <c r="W90" s="256"/>
    </row>
    <row r="91" spans="1:23">
      <c r="B91" s="295" t="s">
        <v>182</v>
      </c>
      <c r="C91" s="104" t="s">
        <v>228</v>
      </c>
      <c r="D91" s="326">
        <v>1646.4578922562382</v>
      </c>
      <c r="E91" s="326">
        <v>1690.4286772888327</v>
      </c>
      <c r="F91" s="326">
        <v>1781.3962969085803</v>
      </c>
      <c r="G91" s="326">
        <v>1851.4843812087408</v>
      </c>
      <c r="H91" s="326">
        <v>1926.6364570766755</v>
      </c>
      <c r="I91" s="508"/>
      <c r="J91" s="507"/>
      <c r="K91" s="256"/>
      <c r="L91" s="507"/>
      <c r="M91" s="507"/>
      <c r="N91" s="256"/>
      <c r="O91" s="256"/>
      <c r="P91" s="256"/>
      <c r="Q91" s="256"/>
      <c r="R91" s="256"/>
      <c r="S91" s="256"/>
      <c r="T91" s="256"/>
      <c r="U91" s="256"/>
      <c r="V91" s="256"/>
      <c r="W91" s="256"/>
    </row>
    <row r="92" spans="1:23">
      <c r="A92" s="342"/>
      <c r="B92" s="265"/>
      <c r="C92" s="256"/>
      <c r="D92" s="256"/>
      <c r="E92" s="256"/>
      <c r="F92" s="256"/>
      <c r="G92" s="256"/>
      <c r="H92" s="256"/>
      <c r="I92" s="505"/>
      <c r="J92" s="505"/>
      <c r="K92" s="256"/>
      <c r="L92" s="507"/>
      <c r="M92" s="507"/>
      <c r="N92" s="256"/>
      <c r="O92" s="256"/>
      <c r="P92" s="256"/>
      <c r="Q92" s="256"/>
      <c r="R92" s="256"/>
      <c r="S92" s="256"/>
      <c r="T92" s="256"/>
      <c r="U92" s="256"/>
      <c r="V92" s="256"/>
      <c r="W92" s="256"/>
    </row>
    <row r="93" spans="1:23">
      <c r="A93" s="342"/>
      <c r="B93" s="265"/>
      <c r="C93" s="256"/>
      <c r="D93" s="256"/>
      <c r="E93" s="256"/>
      <c r="F93" s="256"/>
      <c r="G93" s="256"/>
      <c r="H93" s="256"/>
      <c r="I93" s="505"/>
      <c r="J93" s="505"/>
      <c r="K93" s="256"/>
      <c r="L93" s="507"/>
      <c r="M93" s="507"/>
      <c r="N93" s="256"/>
      <c r="O93" s="256"/>
      <c r="P93" s="256"/>
      <c r="Q93" s="256"/>
      <c r="R93" s="256"/>
      <c r="S93" s="256"/>
      <c r="T93" s="256"/>
      <c r="U93" s="256"/>
      <c r="V93" s="256"/>
      <c r="W93" s="256"/>
    </row>
    <row r="94" spans="1:23">
      <c r="A94" s="342"/>
      <c r="B94" s="306" t="s">
        <v>241</v>
      </c>
      <c r="D94" s="307" t="str">
        <f>ED!D100</f>
        <v>Actuals</v>
      </c>
      <c r="E94" s="307" t="str">
        <f>ED!E100</f>
        <v>Forecast</v>
      </c>
      <c r="F94" s="307" t="str">
        <f>ED!F100</f>
        <v>Forecast</v>
      </c>
      <c r="G94" s="307" t="str">
        <f>ED!G100</f>
        <v>Forecast</v>
      </c>
      <c r="H94" s="307" t="str">
        <f>ED!H100</f>
        <v>Forecast</v>
      </c>
      <c r="L94" s="507"/>
      <c r="M94" s="507"/>
      <c r="N94" s="256"/>
      <c r="O94" s="256"/>
      <c r="P94" s="256"/>
      <c r="Q94" s="256"/>
      <c r="R94" s="256"/>
      <c r="S94" s="256"/>
      <c r="T94" s="256"/>
      <c r="U94" s="256"/>
      <c r="V94" s="256"/>
      <c r="W94" s="256"/>
    </row>
    <row r="95" spans="1:23" ht="22.8">
      <c r="A95" s="342"/>
      <c r="B95" s="308"/>
      <c r="D95" s="309">
        <f>ED!D101</f>
        <v>2024</v>
      </c>
      <c r="E95" s="309">
        <f>ED!E101</f>
        <v>2025</v>
      </c>
      <c r="F95" s="309">
        <f>ED!F101</f>
        <v>2026</v>
      </c>
      <c r="G95" s="309">
        <f>ED!G101</f>
        <v>2027</v>
      </c>
      <c r="H95" s="309">
        <f>ED!H101</f>
        <v>2028</v>
      </c>
      <c r="J95" s="310" t="str">
        <f>ED!J101</f>
        <v>Cumulative to 2024</v>
      </c>
      <c r="K95" s="309" t="str">
        <f>ED!K101</f>
        <v>RIIO-2 period</v>
      </c>
      <c r="L95" s="504"/>
      <c r="M95" s="505"/>
      <c r="N95" s="256"/>
      <c r="O95" s="256"/>
      <c r="P95" s="256"/>
      <c r="Q95" s="256"/>
      <c r="R95" s="256"/>
      <c r="S95" s="256"/>
      <c r="T95" s="256"/>
      <c r="U95" s="256"/>
      <c r="V95" s="256"/>
      <c r="W95" s="256"/>
    </row>
    <row r="96" spans="1:23">
      <c r="A96" s="342"/>
      <c r="B96" s="308" t="s">
        <v>154</v>
      </c>
      <c r="C96" s="104" t="s">
        <v>228</v>
      </c>
      <c r="D96" s="337">
        <f>SUM(D105,D114)</f>
        <v>538.55304984554641</v>
      </c>
      <c r="E96" s="337">
        <f t="shared" ref="E96:H100" si="14">SUM(E105,E114)</f>
        <v>727.5613731238833</v>
      </c>
      <c r="F96" s="337">
        <f t="shared" si="14"/>
        <v>680.24975200946187</v>
      </c>
      <c r="G96" s="337">
        <f t="shared" si="14"/>
        <v>663.30499493854199</v>
      </c>
      <c r="H96" s="337">
        <f t="shared" si="14"/>
        <v>652.7350300341775</v>
      </c>
      <c r="I96" s="308"/>
      <c r="J96" s="337">
        <f>SUM(J105,J114)</f>
        <v>538.55304984554641</v>
      </c>
      <c r="K96" s="337">
        <f>SUM(K105,K114)</f>
        <v>3262.4041999516112</v>
      </c>
      <c r="L96" s="504"/>
      <c r="M96" s="505"/>
      <c r="N96" s="256"/>
      <c r="O96" s="256"/>
      <c r="P96" s="256"/>
      <c r="Q96" s="256"/>
      <c r="R96" s="256"/>
      <c r="S96" s="256"/>
      <c r="T96" s="256"/>
      <c r="U96" s="256"/>
      <c r="V96" s="256"/>
      <c r="W96" s="256"/>
    </row>
    <row r="97" spans="1:23" ht="30" customHeight="1">
      <c r="A97" s="342"/>
      <c r="B97" s="312" t="s">
        <v>155</v>
      </c>
      <c r="C97" s="104" t="s">
        <v>228</v>
      </c>
      <c r="D97" s="337">
        <f>SUM(D106,D115)</f>
        <v>612.86777934540237</v>
      </c>
      <c r="E97" s="337">
        <f t="shared" si="14"/>
        <v>694.75764811871863</v>
      </c>
      <c r="F97" s="337">
        <f t="shared" si="14"/>
        <v>645.05143395060986</v>
      </c>
      <c r="G97" s="337">
        <f t="shared" si="14"/>
        <v>603.70237870211815</v>
      </c>
      <c r="H97" s="337">
        <f t="shared" si="14"/>
        <v>595.85749186562657</v>
      </c>
      <c r="I97" s="308"/>
      <c r="J97" s="337">
        <f>SUM(J106,J115)</f>
        <v>612.86777934540237</v>
      </c>
      <c r="K97" s="337">
        <f>SUM(K106,K115)</f>
        <v>3152.2367319824752</v>
      </c>
      <c r="L97" s="504"/>
      <c r="M97" s="505"/>
      <c r="N97" s="256"/>
      <c r="O97" s="256"/>
      <c r="P97" s="256"/>
      <c r="Q97" s="256"/>
      <c r="R97" s="256"/>
      <c r="S97" s="256"/>
      <c r="T97" s="256"/>
      <c r="U97" s="256"/>
      <c r="V97" s="256"/>
      <c r="W97" s="256"/>
    </row>
    <row r="98" spans="1:23">
      <c r="A98" s="342"/>
      <c r="B98" s="306" t="s">
        <v>156</v>
      </c>
      <c r="C98" s="104" t="s">
        <v>228</v>
      </c>
      <c r="D98" s="150">
        <f>SUM(D107,D116)</f>
        <v>74.314729499855957</v>
      </c>
      <c r="E98" s="150">
        <f t="shared" si="14"/>
        <v>-32.803725005164686</v>
      </c>
      <c r="F98" s="150">
        <f t="shared" si="14"/>
        <v>-35.198318058851875</v>
      </c>
      <c r="G98" s="150">
        <f t="shared" si="14"/>
        <v>-59.60261623642387</v>
      </c>
      <c r="H98" s="150">
        <f t="shared" si="14"/>
        <v>-56.877538168551062</v>
      </c>
      <c r="I98" s="306"/>
      <c r="J98" s="150">
        <f t="shared" ref="J98:K100" si="15">SUM(J107,J116)</f>
        <v>74.314729499855957</v>
      </c>
      <c r="K98" s="150">
        <f t="shared" si="15"/>
        <v>-110.16746796913552</v>
      </c>
      <c r="L98" s="504"/>
      <c r="M98" s="505"/>
      <c r="N98" s="256"/>
      <c r="O98" s="256"/>
      <c r="P98" s="256"/>
      <c r="Q98" s="256"/>
      <c r="R98" s="256"/>
      <c r="S98" s="256"/>
      <c r="T98" s="256"/>
      <c r="U98" s="256"/>
      <c r="V98" s="256"/>
      <c r="W98" s="256"/>
    </row>
    <row r="99" spans="1:23">
      <c r="A99" s="342"/>
      <c r="B99" s="308" t="s">
        <v>157</v>
      </c>
      <c r="C99" s="104" t="s">
        <v>228</v>
      </c>
      <c r="D99" s="337">
        <f>SUM(D108,D117)</f>
        <v>-74.314729499855957</v>
      </c>
      <c r="E99" s="337">
        <f t="shared" si="14"/>
        <v>32.803725005164686</v>
      </c>
      <c r="F99" s="337">
        <f t="shared" si="14"/>
        <v>35.198318058851875</v>
      </c>
      <c r="G99" s="337">
        <f t="shared" si="14"/>
        <v>59.60261623642387</v>
      </c>
      <c r="H99" s="337">
        <f t="shared" si="14"/>
        <v>56.877538168551062</v>
      </c>
      <c r="I99" s="308"/>
      <c r="J99" s="337">
        <f t="shared" si="15"/>
        <v>-74.314729499855957</v>
      </c>
      <c r="K99" s="337">
        <f t="shared" si="15"/>
        <v>110.16746796913553</v>
      </c>
      <c r="L99" s="504"/>
      <c r="M99" s="505"/>
      <c r="N99" s="256"/>
      <c r="O99" s="256"/>
      <c r="P99" s="256"/>
      <c r="Q99" s="256"/>
      <c r="R99" s="256"/>
      <c r="S99" s="256"/>
      <c r="T99" s="256"/>
      <c r="U99" s="256"/>
      <c r="V99" s="256"/>
      <c r="W99" s="256"/>
    </row>
    <row r="100" spans="1:23">
      <c r="A100" s="342"/>
      <c r="B100" s="306" t="s">
        <v>158</v>
      </c>
      <c r="C100" s="104" t="s">
        <v>228</v>
      </c>
      <c r="D100" s="150">
        <f>SUM(D109,D118)</f>
        <v>0</v>
      </c>
      <c r="E100" s="150">
        <f t="shared" si="14"/>
        <v>0</v>
      </c>
      <c r="F100" s="150">
        <f t="shared" si="14"/>
        <v>0</v>
      </c>
      <c r="G100" s="150">
        <f t="shared" si="14"/>
        <v>0</v>
      </c>
      <c r="H100" s="150">
        <f t="shared" si="14"/>
        <v>0</v>
      </c>
      <c r="I100" s="306"/>
      <c r="J100" s="150">
        <f t="shared" si="15"/>
        <v>0</v>
      </c>
      <c r="K100" s="150">
        <f t="shared" si="15"/>
        <v>0</v>
      </c>
      <c r="L100" s="506"/>
      <c r="M100" s="505"/>
      <c r="N100" s="256"/>
      <c r="O100" s="256"/>
      <c r="P100" s="256"/>
      <c r="Q100" s="256"/>
      <c r="R100" s="256"/>
      <c r="S100" s="256"/>
      <c r="T100" s="256"/>
      <c r="U100" s="256"/>
      <c r="V100" s="256"/>
      <c r="W100" s="256"/>
    </row>
    <row r="101" spans="1:23">
      <c r="A101" s="342"/>
      <c r="B101" s="306" t="s">
        <v>159</v>
      </c>
      <c r="C101" s="314" t="s">
        <v>163</v>
      </c>
      <c r="D101" s="151">
        <f>D100/D97</f>
        <v>0</v>
      </c>
      <c r="E101" s="151">
        <f t="shared" ref="E101:H101" si="16">E100/E97</f>
        <v>0</v>
      </c>
      <c r="F101" s="151">
        <f t="shared" si="16"/>
        <v>0</v>
      </c>
      <c r="G101" s="151">
        <f t="shared" si="16"/>
        <v>0</v>
      </c>
      <c r="H101" s="151">
        <f t="shared" si="16"/>
        <v>0</v>
      </c>
      <c r="J101" s="151">
        <f>J100/J97</f>
        <v>0</v>
      </c>
      <c r="K101" s="151">
        <f>K100/K97</f>
        <v>0</v>
      </c>
      <c r="L101" s="506"/>
      <c r="M101" s="505"/>
      <c r="N101" s="256"/>
      <c r="O101" s="256"/>
      <c r="P101" s="256"/>
      <c r="Q101" s="256"/>
      <c r="R101" s="256"/>
      <c r="S101" s="256"/>
      <c r="T101" s="256"/>
      <c r="U101" s="256"/>
      <c r="V101" s="256"/>
      <c r="W101" s="256"/>
    </row>
    <row r="103" spans="1:23">
      <c r="B103" s="306" t="s">
        <v>242</v>
      </c>
      <c r="D103" s="307" t="str">
        <f>D94</f>
        <v>Actuals</v>
      </c>
      <c r="E103" s="307" t="str">
        <f t="shared" ref="E103:K104" si="17">E94</f>
        <v>Forecast</v>
      </c>
      <c r="F103" s="307" t="str">
        <f t="shared" si="17"/>
        <v>Forecast</v>
      </c>
      <c r="G103" s="307" t="str">
        <f t="shared" si="17"/>
        <v>Forecast</v>
      </c>
      <c r="H103" s="307" t="str">
        <f t="shared" si="17"/>
        <v>Forecast</v>
      </c>
      <c r="I103" s="308"/>
    </row>
    <row r="104" spans="1:23" ht="22.8">
      <c r="B104" s="308"/>
      <c r="D104" s="309">
        <f>D95</f>
        <v>2024</v>
      </c>
      <c r="E104" s="309">
        <f t="shared" si="17"/>
        <v>2025</v>
      </c>
      <c r="F104" s="309">
        <f t="shared" si="17"/>
        <v>2026</v>
      </c>
      <c r="G104" s="309">
        <f t="shared" si="17"/>
        <v>2027</v>
      </c>
      <c r="H104" s="309">
        <f t="shared" si="17"/>
        <v>2028</v>
      </c>
      <c r="I104" s="308"/>
      <c r="J104" s="310" t="str">
        <f t="shared" si="17"/>
        <v>Cumulative to 2024</v>
      </c>
      <c r="K104" s="310" t="str">
        <f t="shared" si="17"/>
        <v>RIIO-2 period</v>
      </c>
    </row>
    <row r="105" spans="1:23">
      <c r="B105" s="308" t="s">
        <v>154</v>
      </c>
      <c r="C105" s="104" t="s">
        <v>228</v>
      </c>
      <c r="D105" s="326">
        <v>264.6052706394006</v>
      </c>
      <c r="E105" s="326">
        <v>350.93748183341268</v>
      </c>
      <c r="F105" s="326">
        <v>332.02730251585956</v>
      </c>
      <c r="G105" s="326">
        <v>325.68378741589208</v>
      </c>
      <c r="H105" s="326">
        <v>321.66981732102596</v>
      </c>
      <c r="I105" s="308"/>
      <c r="J105" s="326">
        <v>264.6052706394006</v>
      </c>
      <c r="K105" s="326">
        <v>1594.9236597255908</v>
      </c>
    </row>
    <row r="106" spans="1:23" ht="22.8">
      <c r="B106" s="312" t="s">
        <v>155</v>
      </c>
      <c r="C106" s="104" t="s">
        <v>228</v>
      </c>
      <c r="D106" s="326">
        <v>306.43046920794387</v>
      </c>
      <c r="E106" s="326">
        <v>341.01206618818037</v>
      </c>
      <c r="F106" s="326">
        <v>314.33417040423751</v>
      </c>
      <c r="G106" s="326">
        <v>305.4268630273753</v>
      </c>
      <c r="H106" s="326">
        <v>302.99657779329704</v>
      </c>
      <c r="I106" s="308"/>
      <c r="J106" s="326">
        <v>306.43046920794387</v>
      </c>
      <c r="K106" s="326">
        <v>1570.200146621034</v>
      </c>
    </row>
    <row r="107" spans="1:23">
      <c r="B107" s="306" t="s">
        <v>156</v>
      </c>
      <c r="C107" s="104" t="s">
        <v>228</v>
      </c>
      <c r="D107" s="326">
        <v>41.825198568543257</v>
      </c>
      <c r="E107" s="326">
        <v>-9.9254156452323201</v>
      </c>
      <c r="F107" s="326">
        <v>-17.69313211162202</v>
      </c>
      <c r="G107" s="326">
        <v>-20.256924388516751</v>
      </c>
      <c r="H107" s="326">
        <v>-18.673239527728938</v>
      </c>
      <c r="I107" s="308"/>
      <c r="J107" s="326">
        <v>41.825198568543257</v>
      </c>
      <c r="K107" s="326">
        <v>-24.723513104556787</v>
      </c>
    </row>
    <row r="108" spans="1:23">
      <c r="B108" s="308" t="s">
        <v>157</v>
      </c>
      <c r="C108" s="104" t="s">
        <v>228</v>
      </c>
      <c r="D108" s="326">
        <v>-41.825198568543257</v>
      </c>
      <c r="E108" s="326">
        <v>9.9254156452323201</v>
      </c>
      <c r="F108" s="326">
        <v>17.69313211162202</v>
      </c>
      <c r="G108" s="326">
        <v>20.256924388516751</v>
      </c>
      <c r="H108" s="326">
        <v>18.673239527728938</v>
      </c>
      <c r="I108" s="308"/>
      <c r="J108" s="326">
        <v>-41.825198568543257</v>
      </c>
      <c r="K108" s="326">
        <v>24.723513104556769</v>
      </c>
    </row>
    <row r="109" spans="1:23">
      <c r="B109" s="306" t="s">
        <v>158</v>
      </c>
      <c r="C109" s="104" t="s">
        <v>228</v>
      </c>
      <c r="D109" s="303">
        <f>D107+D108</f>
        <v>0</v>
      </c>
      <c r="E109" s="303">
        <f>E107+E108</f>
        <v>0</v>
      </c>
      <c r="F109" s="303">
        <f t="shared" ref="F109" si="18">F107+F108</f>
        <v>0</v>
      </c>
      <c r="G109" s="303">
        <f>G107+G108</f>
        <v>0</v>
      </c>
      <c r="H109" s="303">
        <f t="shared" ref="H109" si="19">H107+H108</f>
        <v>0</v>
      </c>
      <c r="I109" s="308"/>
      <c r="J109" s="303">
        <f>J107+J108</f>
        <v>0</v>
      </c>
      <c r="K109" s="303">
        <f>K107+K108</f>
        <v>0</v>
      </c>
    </row>
    <row r="110" spans="1:23">
      <c r="B110" s="306" t="s">
        <v>159</v>
      </c>
      <c r="C110" s="314" t="s">
        <v>163</v>
      </c>
      <c r="D110" s="151">
        <f>D109/D106</f>
        <v>0</v>
      </c>
      <c r="E110" s="151">
        <f>E109/E106</f>
        <v>0</v>
      </c>
      <c r="F110" s="151">
        <f t="shared" ref="F110:H110" si="20">F109/F106</f>
        <v>0</v>
      </c>
      <c r="G110" s="151">
        <f t="shared" si="20"/>
        <v>0</v>
      </c>
      <c r="H110" s="151">
        <f t="shared" si="20"/>
        <v>0</v>
      </c>
      <c r="J110" s="151">
        <f>J109/J106</f>
        <v>0</v>
      </c>
      <c r="K110" s="151">
        <f>K109/K106</f>
        <v>0</v>
      </c>
    </row>
    <row r="112" spans="1:23">
      <c r="B112" s="306" t="s">
        <v>243</v>
      </c>
      <c r="D112" s="307" t="str">
        <f>D103</f>
        <v>Actuals</v>
      </c>
      <c r="E112" s="307" t="str">
        <f t="shared" ref="E112:K113" si="21">E103</f>
        <v>Forecast</v>
      </c>
      <c r="F112" s="307" t="str">
        <f t="shared" si="21"/>
        <v>Forecast</v>
      </c>
      <c r="G112" s="307" t="str">
        <f t="shared" si="21"/>
        <v>Forecast</v>
      </c>
      <c r="H112" s="307" t="str">
        <f t="shared" si="21"/>
        <v>Forecast</v>
      </c>
      <c r="I112" s="308"/>
    </row>
    <row r="113" spans="2:11" ht="22.8">
      <c r="B113" s="308"/>
      <c r="D113" s="309">
        <f>D104</f>
        <v>2024</v>
      </c>
      <c r="E113" s="309">
        <f t="shared" si="21"/>
        <v>2025</v>
      </c>
      <c r="F113" s="309">
        <f t="shared" si="21"/>
        <v>2026</v>
      </c>
      <c r="G113" s="309">
        <f t="shared" si="21"/>
        <v>2027</v>
      </c>
      <c r="H113" s="309">
        <f t="shared" si="21"/>
        <v>2028</v>
      </c>
      <c r="I113" s="308"/>
      <c r="J113" s="310" t="str">
        <f t="shared" si="21"/>
        <v>Cumulative to 2024</v>
      </c>
      <c r="K113" s="310" t="str">
        <f t="shared" si="21"/>
        <v>RIIO-2 period</v>
      </c>
    </row>
    <row r="114" spans="2:11">
      <c r="B114" s="308" t="s">
        <v>154</v>
      </c>
      <c r="C114" s="104" t="s">
        <v>228</v>
      </c>
      <c r="D114" s="326">
        <v>273.94777920614575</v>
      </c>
      <c r="E114" s="326">
        <v>376.62389129047062</v>
      </c>
      <c r="F114" s="326">
        <v>348.22244949360226</v>
      </c>
      <c r="G114" s="326">
        <v>337.62120752264997</v>
      </c>
      <c r="H114" s="326">
        <v>331.0652127131516</v>
      </c>
      <c r="I114" s="308"/>
      <c r="J114" s="326">
        <v>273.94777920614575</v>
      </c>
      <c r="K114" s="326">
        <v>1667.4805402260201</v>
      </c>
    </row>
    <row r="115" spans="2:11" ht="22.8">
      <c r="B115" s="312" t="s">
        <v>155</v>
      </c>
      <c r="C115" s="104" t="s">
        <v>228</v>
      </c>
      <c r="D115" s="326">
        <v>306.43731013745844</v>
      </c>
      <c r="E115" s="326">
        <v>353.74558193053826</v>
      </c>
      <c r="F115" s="326">
        <v>330.71726354637241</v>
      </c>
      <c r="G115" s="326">
        <v>298.27551567474285</v>
      </c>
      <c r="H115" s="326">
        <v>292.86091407232948</v>
      </c>
      <c r="I115" s="308"/>
      <c r="J115" s="326">
        <v>306.43731013745844</v>
      </c>
      <c r="K115" s="326">
        <v>1582.0365853614414</v>
      </c>
    </row>
    <row r="116" spans="2:11">
      <c r="B116" s="306" t="s">
        <v>156</v>
      </c>
      <c r="C116" s="104" t="s">
        <v>228</v>
      </c>
      <c r="D116" s="326">
        <v>32.489530931312707</v>
      </c>
      <c r="E116" s="326">
        <v>-22.878309359932366</v>
      </c>
      <c r="F116" s="326">
        <v>-17.505185947229855</v>
      </c>
      <c r="G116" s="326">
        <v>-39.345691847907119</v>
      </c>
      <c r="H116" s="326">
        <v>-38.204298640822124</v>
      </c>
      <c r="I116" s="308"/>
      <c r="J116" s="326">
        <v>32.489530931312707</v>
      </c>
      <c r="K116" s="326">
        <v>-85.443954864578728</v>
      </c>
    </row>
    <row r="117" spans="2:11">
      <c r="B117" s="308" t="s">
        <v>157</v>
      </c>
      <c r="C117" s="104" t="s">
        <v>228</v>
      </c>
      <c r="D117" s="326">
        <v>-32.489530931312707</v>
      </c>
      <c r="E117" s="326">
        <v>22.878309359932366</v>
      </c>
      <c r="F117" s="326">
        <v>17.505185947229855</v>
      </c>
      <c r="G117" s="326">
        <v>39.345691847907119</v>
      </c>
      <c r="H117" s="326">
        <v>38.204298640822124</v>
      </c>
      <c r="I117" s="308"/>
      <c r="J117" s="326">
        <v>-32.489530931312707</v>
      </c>
      <c r="K117" s="326">
        <v>85.443954864578757</v>
      </c>
    </row>
    <row r="118" spans="2:11">
      <c r="B118" s="306" t="s">
        <v>158</v>
      </c>
      <c r="C118" s="104" t="s">
        <v>228</v>
      </c>
      <c r="D118" s="303">
        <f>D116+D117</f>
        <v>0</v>
      </c>
      <c r="E118" s="303">
        <f>E116+E117</f>
        <v>0</v>
      </c>
      <c r="F118" s="303">
        <f t="shared" ref="F118" si="22">F116+F117</f>
        <v>0</v>
      </c>
      <c r="G118" s="303">
        <f>G116+G117</f>
        <v>0</v>
      </c>
      <c r="H118" s="303">
        <f t="shared" ref="H118" si="23">H116+H117</f>
        <v>0</v>
      </c>
      <c r="I118" s="308"/>
      <c r="J118" s="303">
        <f>J116+J117</f>
        <v>0</v>
      </c>
      <c r="K118" s="303">
        <f>K116+K117</f>
        <v>0</v>
      </c>
    </row>
    <row r="119" spans="2:11">
      <c r="B119" s="306" t="s">
        <v>159</v>
      </c>
      <c r="C119" s="314" t="s">
        <v>163</v>
      </c>
      <c r="D119" s="151">
        <f>D118/D115</f>
        <v>0</v>
      </c>
      <c r="E119" s="151">
        <f>E118/E115</f>
        <v>0</v>
      </c>
      <c r="F119" s="151">
        <f t="shared" ref="F119:H119" si="24">F118/F115</f>
        <v>0</v>
      </c>
      <c r="G119" s="151">
        <f t="shared" si="24"/>
        <v>0</v>
      </c>
      <c r="H119" s="151">
        <f t="shared" si="24"/>
        <v>0</v>
      </c>
      <c r="J119" s="151">
        <f>J118/J115</f>
        <v>0</v>
      </c>
      <c r="K119" s="151">
        <f>K118/K115</f>
        <v>0</v>
      </c>
    </row>
  </sheetData>
  <mergeCells count="116">
    <mergeCell ref="L6:M6"/>
    <mergeCell ref="L8:M8"/>
    <mergeCell ref="I9:J9"/>
    <mergeCell ref="L9:M9"/>
    <mergeCell ref="I10:J10"/>
    <mergeCell ref="L10:M10"/>
    <mergeCell ref="I1:J1"/>
    <mergeCell ref="I2:J2"/>
    <mergeCell ref="I3:J3"/>
    <mergeCell ref="I4:J4"/>
    <mergeCell ref="L4:M4"/>
    <mergeCell ref="I6:J6"/>
    <mergeCell ref="L5:M5"/>
    <mergeCell ref="L17:M17"/>
    <mergeCell ref="L18:M18"/>
    <mergeCell ref="L19:M19"/>
    <mergeCell ref="L20:M20"/>
    <mergeCell ref="L21:M21"/>
    <mergeCell ref="L22:M22"/>
    <mergeCell ref="L11:M11"/>
    <mergeCell ref="L12:M12"/>
    <mergeCell ref="L13:M13"/>
    <mergeCell ref="L14:M14"/>
    <mergeCell ref="L15:M15"/>
    <mergeCell ref="L16:M16"/>
    <mergeCell ref="L29:M29"/>
    <mergeCell ref="L30:M30"/>
    <mergeCell ref="L31:M31"/>
    <mergeCell ref="L32:M32"/>
    <mergeCell ref="L33:M33"/>
    <mergeCell ref="L23:M23"/>
    <mergeCell ref="L24:M24"/>
    <mergeCell ref="L25:M25"/>
    <mergeCell ref="L26:M26"/>
    <mergeCell ref="L27:M27"/>
    <mergeCell ref="L28:M28"/>
    <mergeCell ref="I37:J37"/>
    <mergeCell ref="L37:M37"/>
    <mergeCell ref="L38:M38"/>
    <mergeCell ref="L39:M39"/>
    <mergeCell ref="L40:M40"/>
    <mergeCell ref="L41:M41"/>
    <mergeCell ref="I34:J34"/>
    <mergeCell ref="L34:M34"/>
    <mergeCell ref="I35:J35"/>
    <mergeCell ref="L35:M35"/>
    <mergeCell ref="I36:J36"/>
    <mergeCell ref="L36:M36"/>
    <mergeCell ref="L48:M48"/>
    <mergeCell ref="L49:M49"/>
    <mergeCell ref="L50:M50"/>
    <mergeCell ref="L51:M51"/>
    <mergeCell ref="L52:M52"/>
    <mergeCell ref="L53:M53"/>
    <mergeCell ref="L42:M42"/>
    <mergeCell ref="L43:M43"/>
    <mergeCell ref="L44:M44"/>
    <mergeCell ref="L45:M45"/>
    <mergeCell ref="L46:M46"/>
    <mergeCell ref="L47:M47"/>
    <mergeCell ref="L60:M60"/>
    <mergeCell ref="I61:J61"/>
    <mergeCell ref="L61:M61"/>
    <mergeCell ref="I62:J62"/>
    <mergeCell ref="L62:M62"/>
    <mergeCell ref="L54:M54"/>
    <mergeCell ref="L55:M55"/>
    <mergeCell ref="L56:M56"/>
    <mergeCell ref="L57:M57"/>
    <mergeCell ref="L58:M58"/>
    <mergeCell ref="L59:M59"/>
    <mergeCell ref="L67:M67"/>
    <mergeCell ref="L68:M68"/>
    <mergeCell ref="L69:M69"/>
    <mergeCell ref="L70:M70"/>
    <mergeCell ref="L71:M71"/>
    <mergeCell ref="L72:M72"/>
    <mergeCell ref="I63:J63"/>
    <mergeCell ref="L63:M63"/>
    <mergeCell ref="I64:J64"/>
    <mergeCell ref="L64:M64"/>
    <mergeCell ref="L65:M65"/>
    <mergeCell ref="L66:M66"/>
    <mergeCell ref="L79:M79"/>
    <mergeCell ref="L80:M80"/>
    <mergeCell ref="L81:M81"/>
    <mergeCell ref="L82:M82"/>
    <mergeCell ref="L83:M83"/>
    <mergeCell ref="L84:M84"/>
    <mergeCell ref="L73:M73"/>
    <mergeCell ref="L74:M74"/>
    <mergeCell ref="L75:M75"/>
    <mergeCell ref="L76:M76"/>
    <mergeCell ref="L77:M77"/>
    <mergeCell ref="L78:M78"/>
    <mergeCell ref="I90:J90"/>
    <mergeCell ref="L90:M90"/>
    <mergeCell ref="I91:J91"/>
    <mergeCell ref="L91:M91"/>
    <mergeCell ref="I92:J92"/>
    <mergeCell ref="L92:M92"/>
    <mergeCell ref="L85:M85"/>
    <mergeCell ref="L86:M86"/>
    <mergeCell ref="L87:M87"/>
    <mergeCell ref="L88:M88"/>
    <mergeCell ref="L89:M89"/>
    <mergeCell ref="L99:M99"/>
    <mergeCell ref="L100:M100"/>
    <mergeCell ref="L101:M101"/>
    <mergeCell ref="L96:M96"/>
    <mergeCell ref="L97:M97"/>
    <mergeCell ref="L98:M98"/>
    <mergeCell ref="I93:J93"/>
    <mergeCell ref="L93:M93"/>
    <mergeCell ref="L94:M94"/>
    <mergeCell ref="L95:M95"/>
  </mergeCells>
  <conditionalFormatting sqref="D94:H95 J95">
    <cfRule type="expression" dxfId="13" priority="91">
      <formula>AND(#REF!="Actuals",#REF!="Forecast")</formula>
    </cfRule>
  </conditionalFormatting>
  <conditionalFormatting sqref="D103:H104 J104 D112:H113 J113">
    <cfRule type="expression" dxfId="12" priority="7">
      <formula>AND(D$7="Actuals",E$7="Forecast")</formula>
    </cfRule>
  </conditionalFormatting>
  <conditionalFormatting sqref="K95">
    <cfRule type="expression" dxfId="11" priority="93">
      <formula>AND(#REF!="Actuals",L$6="Forecast")</formula>
    </cfRule>
  </conditionalFormatting>
  <conditionalFormatting sqref="K104 K113">
    <cfRule type="expression" dxfId="10" priority="8">
      <formula>AND(K$7="Actuals",L$6="Forecast")</formula>
    </cfRule>
  </conditionalFormatting>
  <pageMargins left="0.7" right="0.7" top="0.75" bottom="0.75" header="0.3" footer="0.3"/>
  <ignoredErrors>
    <ignoredError sqref="J29:K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CE58-B6D0-4124-81BB-780136B7816E}">
  <sheetPr>
    <tabColor theme="8" tint="0.39997558519241921"/>
  </sheetPr>
  <dimension ref="A1:W119"/>
  <sheetViews>
    <sheetView zoomScale="80" zoomScaleNormal="80" workbookViewId="0"/>
  </sheetViews>
  <sheetFormatPr defaultColWidth="9.26953125" defaultRowHeight="11.4"/>
  <cols>
    <col min="1" max="1" width="5.90625" style="111" customWidth="1"/>
    <col min="2" max="2" width="57.26953125" style="104" customWidth="1"/>
    <col min="3" max="3" width="9" style="104" customWidth="1"/>
    <col min="4" max="8" width="8.90625" style="104" customWidth="1"/>
    <col min="9" max="9" width="2.08984375" style="104" customWidth="1"/>
    <col min="10" max="10" width="9" style="104" customWidth="1"/>
    <col min="11" max="11" width="8.36328125" style="104" customWidth="1"/>
    <col min="12" max="12" width="1.08984375" style="104" bestFit="1" customWidth="1"/>
    <col min="13" max="16384" width="9.26953125" style="104"/>
  </cols>
  <sheetData>
    <row r="1" spans="1:23" ht="15.6">
      <c r="A1" s="419" t="s">
        <v>162</v>
      </c>
      <c r="B1" s="330"/>
      <c r="C1" s="331"/>
      <c r="D1" s="331"/>
      <c r="E1" s="331"/>
      <c r="F1" s="331"/>
      <c r="G1" s="332"/>
      <c r="H1" s="332"/>
      <c r="I1" s="522"/>
      <c r="J1" s="522"/>
      <c r="K1" s="254"/>
      <c r="L1" s="255" t="s">
        <v>30</v>
      </c>
      <c r="M1" s="256"/>
      <c r="N1" s="256"/>
      <c r="O1" s="256"/>
      <c r="P1" s="256"/>
      <c r="Q1" s="256"/>
      <c r="R1" s="256"/>
      <c r="S1" s="256"/>
      <c r="T1" s="256"/>
      <c r="U1" s="256"/>
      <c r="V1" s="256"/>
      <c r="W1" s="256"/>
    </row>
    <row r="2" spans="1:23" ht="15.6">
      <c r="A2" s="425" t="s">
        <v>26</v>
      </c>
      <c r="B2" s="333"/>
      <c r="C2" s="334"/>
      <c r="D2" s="334"/>
      <c r="E2" s="334"/>
      <c r="F2" s="334"/>
      <c r="G2" s="335"/>
      <c r="H2" s="335"/>
      <c r="I2" s="523"/>
      <c r="J2" s="523"/>
      <c r="K2" s="260"/>
      <c r="L2" s="261"/>
      <c r="M2" s="256"/>
      <c r="N2" s="256"/>
      <c r="O2" s="256"/>
      <c r="P2" s="256"/>
      <c r="Q2" s="256"/>
      <c r="R2" s="256"/>
      <c r="S2" s="256"/>
      <c r="T2" s="256"/>
      <c r="U2" s="256"/>
      <c r="V2" s="256"/>
      <c r="W2" s="256"/>
    </row>
    <row r="3" spans="1:23" ht="15.6">
      <c r="A3" s="430">
        <v>2024</v>
      </c>
      <c r="B3" s="335"/>
      <c r="C3" s="335"/>
      <c r="D3" s="335"/>
      <c r="E3" s="335"/>
      <c r="F3" s="335"/>
      <c r="G3" s="335"/>
      <c r="H3" s="336"/>
      <c r="I3" s="524"/>
      <c r="J3" s="524"/>
      <c r="K3" s="263"/>
      <c r="L3" s="264"/>
      <c r="M3" s="256"/>
      <c r="N3" s="256"/>
      <c r="O3" s="256"/>
      <c r="P3" s="256"/>
      <c r="Q3" s="256"/>
      <c r="R3" s="256"/>
      <c r="S3" s="256"/>
      <c r="T3" s="256"/>
      <c r="U3" s="256"/>
      <c r="V3" s="256"/>
      <c r="W3" s="256"/>
    </row>
    <row r="4" spans="1:23">
      <c r="A4" s="338"/>
      <c r="B4" s="265"/>
      <c r="C4" s="256"/>
      <c r="D4" s="256"/>
      <c r="E4" s="256"/>
      <c r="F4" s="256"/>
      <c r="G4" s="256"/>
      <c r="H4" s="256"/>
      <c r="I4" s="525"/>
      <c r="J4" s="525"/>
      <c r="K4" s="256"/>
      <c r="L4" s="505"/>
      <c r="M4" s="505"/>
      <c r="N4" s="256"/>
      <c r="O4" s="256"/>
      <c r="P4" s="256"/>
      <c r="Q4" s="256"/>
      <c r="R4" s="256"/>
      <c r="S4" s="256"/>
      <c r="T4" s="256"/>
      <c r="U4" s="256"/>
      <c r="V4" s="256"/>
      <c r="W4" s="256"/>
    </row>
    <row r="5" spans="1:23">
      <c r="A5" s="338"/>
      <c r="B5" s="265"/>
      <c r="C5" s="256"/>
      <c r="L5" s="505"/>
      <c r="M5" s="505"/>
      <c r="N5" s="256"/>
      <c r="O5" s="256"/>
      <c r="P5" s="256"/>
      <c r="Q5" s="256"/>
      <c r="R5" s="256"/>
      <c r="S5" s="256"/>
      <c r="T5" s="256"/>
      <c r="U5" s="256"/>
      <c r="V5" s="256"/>
      <c r="W5" s="256"/>
    </row>
    <row r="6" spans="1:23">
      <c r="A6" s="338"/>
      <c r="B6" s="265"/>
      <c r="C6" s="266"/>
      <c r="D6" s="267" t="s">
        <v>198</v>
      </c>
      <c r="E6" s="267" t="s">
        <v>211</v>
      </c>
      <c r="F6" s="267" t="s">
        <v>211</v>
      </c>
      <c r="G6" s="267" t="s">
        <v>211</v>
      </c>
      <c r="H6" s="267" t="s">
        <v>211</v>
      </c>
      <c r="I6" s="526"/>
      <c r="J6" s="527"/>
      <c r="K6" s="256"/>
      <c r="L6" s="504"/>
      <c r="M6" s="505"/>
      <c r="N6" s="256"/>
      <c r="O6" s="256"/>
      <c r="P6" s="256"/>
      <c r="Q6" s="256"/>
      <c r="R6" s="256"/>
      <c r="S6" s="256"/>
      <c r="T6" s="256"/>
      <c r="U6" s="256"/>
      <c r="V6" s="256"/>
      <c r="W6" s="256"/>
    </row>
    <row r="7" spans="1:23" ht="22.8">
      <c r="A7" s="338"/>
      <c r="B7" s="265"/>
      <c r="C7" s="266"/>
      <c r="D7" s="269">
        <v>2024</v>
      </c>
      <c r="E7" s="269">
        <v>2025</v>
      </c>
      <c r="F7" s="269">
        <v>2026</v>
      </c>
      <c r="G7" s="269">
        <v>2027</v>
      </c>
      <c r="H7" s="269">
        <v>2028</v>
      </c>
      <c r="I7" s="270"/>
      <c r="J7" s="271" t="s">
        <v>58</v>
      </c>
      <c r="K7" s="272" t="s">
        <v>59</v>
      </c>
      <c r="L7" s="266"/>
      <c r="M7" s="256"/>
      <c r="N7" s="256"/>
      <c r="O7" s="256"/>
      <c r="P7" s="256"/>
      <c r="Q7" s="256"/>
      <c r="R7" s="256"/>
      <c r="S7" s="256"/>
      <c r="T7" s="256"/>
      <c r="U7" s="256"/>
      <c r="V7" s="256"/>
      <c r="W7" s="256"/>
    </row>
    <row r="8" spans="1:23">
      <c r="A8" s="338"/>
      <c r="B8" s="265"/>
      <c r="C8" s="265"/>
      <c r="D8" s="265"/>
      <c r="E8" s="265"/>
      <c r="F8" s="265"/>
      <c r="G8" s="265"/>
      <c r="H8" s="265"/>
      <c r="I8" s="265"/>
      <c r="J8" s="265"/>
      <c r="K8" s="265"/>
      <c r="L8" s="507"/>
      <c r="M8" s="507"/>
      <c r="N8" s="265"/>
      <c r="O8" s="265"/>
      <c r="P8" s="265"/>
      <c r="Q8" s="265"/>
      <c r="R8" s="265"/>
      <c r="S8" s="265"/>
      <c r="T8" s="265"/>
      <c r="U8" s="256"/>
      <c r="V8" s="256"/>
      <c r="W8" s="256"/>
    </row>
    <row r="9" spans="1:23">
      <c r="A9" s="338"/>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38"/>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38"/>
      <c r="B11" s="276" t="s">
        <v>107</v>
      </c>
      <c r="C11" s="277" t="s">
        <v>163</v>
      </c>
      <c r="D11" s="316">
        <f t="shared" ref="D11:H26" si="0">D65/D$90</f>
        <v>5.2833944000000001E-2</v>
      </c>
      <c r="E11" s="316">
        <f t="shared" si="0"/>
        <v>5.5875457999999996E-2</v>
      </c>
      <c r="F11" s="316">
        <f t="shared" si="0"/>
        <v>5.5175426999999999E-2</v>
      </c>
      <c r="G11" s="316">
        <f t="shared" si="0"/>
        <v>5.5320260999999996E-2</v>
      </c>
      <c r="H11" s="316">
        <f t="shared" si="0"/>
        <v>5.5489234000000019E-2</v>
      </c>
      <c r="I11" s="278"/>
      <c r="J11" s="317">
        <f>AVERAGE(D65:INDEX(D65:H65,0,MATCH(Data!$B$3,$D$7:$H$7,0)))/AVERAGE($D$90:INDEX($D$90:$H$90,0,MATCH(Data!$B$3,$D$7:$H$7,0)))</f>
        <v>5.2833944000000001E-2</v>
      </c>
      <c r="K11" s="317">
        <f t="shared" ref="K11:K28" si="1">AVERAGE(D65:H65)/AVERAGE($D$90:$H$90)</f>
        <v>5.499997338081225E-2</v>
      </c>
      <c r="L11" s="504"/>
      <c r="M11" s="505"/>
      <c r="N11" s="256"/>
      <c r="O11" s="256"/>
      <c r="P11" s="256"/>
      <c r="Q11" s="256"/>
      <c r="R11" s="256"/>
      <c r="S11" s="256"/>
      <c r="T11" s="256"/>
      <c r="U11" s="256"/>
      <c r="V11" s="256"/>
      <c r="W11" s="256"/>
    </row>
    <row r="12" spans="1:23">
      <c r="A12" s="338"/>
      <c r="B12" s="276" t="s">
        <v>108</v>
      </c>
      <c r="C12" s="277" t="s">
        <v>163</v>
      </c>
      <c r="D12" s="316">
        <f t="shared" si="0"/>
        <v>2.1456134962079813E-2</v>
      </c>
      <c r="E12" s="316">
        <f t="shared" si="0"/>
        <v>1.9178682415379511E-2</v>
      </c>
      <c r="F12" s="316">
        <f t="shared" si="0"/>
        <v>-1.7976004631808717E-2</v>
      </c>
      <c r="G12" s="316">
        <f t="shared" si="0"/>
        <v>-2.9856082459367276E-2</v>
      </c>
      <c r="H12" s="316">
        <f t="shared" si="0"/>
        <v>1.9740674028002968E-2</v>
      </c>
      <c r="I12" s="278"/>
      <c r="J12" s="317">
        <f>AVERAGE(D66:INDEX(D66:H66,0,MATCH(Data!$B$3,$D$7:$H$7,0)))/AVERAGE($D$90:INDEX($D$90:$H$90,0,MATCH(Data!$B$3,$D$7:$H$7,0)))</f>
        <v>2.1456134962079813E-2</v>
      </c>
      <c r="K12" s="317">
        <f t="shared" si="1"/>
        <v>1.7282894284112156E-3</v>
      </c>
      <c r="L12" s="504"/>
      <c r="M12" s="505"/>
      <c r="N12" s="256"/>
      <c r="O12" s="256"/>
      <c r="P12" s="256"/>
      <c r="Q12" s="256"/>
      <c r="R12" s="256"/>
      <c r="S12" s="256"/>
      <c r="T12" s="256"/>
      <c r="U12" s="256"/>
      <c r="V12" s="256"/>
      <c r="W12" s="256"/>
    </row>
    <row r="13" spans="1:23">
      <c r="A13" s="339" t="s">
        <v>212</v>
      </c>
      <c r="B13" s="276" t="s">
        <v>109</v>
      </c>
      <c r="C13" s="277" t="s">
        <v>163</v>
      </c>
      <c r="D13" s="316">
        <f t="shared" si="0"/>
        <v>2.2382664812745008E-3</v>
      </c>
      <c r="E13" s="316">
        <f t="shared" si="0"/>
        <v>0</v>
      </c>
      <c r="F13" s="316">
        <f t="shared" si="0"/>
        <v>0</v>
      </c>
      <c r="G13" s="316">
        <f t="shared" si="0"/>
        <v>0</v>
      </c>
      <c r="H13" s="316">
        <f t="shared" si="0"/>
        <v>0</v>
      </c>
      <c r="I13" s="278"/>
      <c r="J13" s="317">
        <f>AVERAGE(D67:INDEX(D67:H67,0,MATCH(Data!$B$3,$D$7:$H$7,0)))/AVERAGE($D$90:INDEX($D$90:$H$90,0,MATCH(Data!$B$3,$D$7:$H$7,0)))</f>
        <v>2.2382664812745008E-3</v>
      </c>
      <c r="K13" s="317">
        <f t="shared" si="1"/>
        <v>3.8851136748741666E-4</v>
      </c>
      <c r="L13" s="504"/>
      <c r="M13" s="505"/>
      <c r="N13" s="256"/>
      <c r="O13" s="256"/>
      <c r="P13" s="256"/>
      <c r="Q13" s="256"/>
      <c r="R13" s="256"/>
      <c r="S13" s="256"/>
      <c r="T13" s="256"/>
      <c r="U13" s="256"/>
      <c r="V13" s="256"/>
      <c r="W13" s="256"/>
    </row>
    <row r="14" spans="1:23">
      <c r="A14" s="339" t="s">
        <v>213</v>
      </c>
      <c r="B14" s="276" t="s">
        <v>110</v>
      </c>
      <c r="C14" s="277" t="s">
        <v>163</v>
      </c>
      <c r="D14" s="316">
        <f t="shared" si="0"/>
        <v>5.8930350728657831E-4</v>
      </c>
      <c r="E14" s="316">
        <f t="shared" si="0"/>
        <v>4.5467649082051281E-4</v>
      </c>
      <c r="F14" s="316">
        <f t="shared" si="0"/>
        <v>4.6813108475953153E-4</v>
      </c>
      <c r="G14" s="316">
        <f t="shared" si="0"/>
        <v>4.2791241546274805E-4</v>
      </c>
      <c r="H14" s="316">
        <f t="shared" si="0"/>
        <v>4.3096073477130877E-4</v>
      </c>
      <c r="I14" s="278"/>
      <c r="J14" s="317">
        <f>AVERAGE(D68:INDEX(D68:H68,0,MATCH(Data!$B$3,$D$7:$H$7,0)))/AVERAGE($D$90:INDEX($D$90:$H$90,0,MATCH(Data!$B$3,$D$7:$H$7,0)))</f>
        <v>5.8930350728657831E-4</v>
      </c>
      <c r="K14" s="317">
        <f t="shared" si="1"/>
        <v>4.6946362625081253E-4</v>
      </c>
      <c r="L14" s="504"/>
      <c r="M14" s="505"/>
      <c r="N14" s="256"/>
      <c r="O14" s="256"/>
      <c r="P14" s="256"/>
      <c r="Q14" s="256"/>
      <c r="R14" s="256"/>
      <c r="S14" s="256"/>
      <c r="T14" s="256"/>
      <c r="U14" s="256"/>
      <c r="V14" s="256"/>
      <c r="W14" s="256"/>
    </row>
    <row r="15" spans="1:23">
      <c r="A15" s="339" t="s">
        <v>214</v>
      </c>
      <c r="B15" s="276" t="s">
        <v>111</v>
      </c>
      <c r="C15" s="277" t="s">
        <v>163</v>
      </c>
      <c r="D15" s="316">
        <f t="shared" si="0"/>
        <v>-1.8154054638323822E-3</v>
      </c>
      <c r="E15" s="316">
        <f t="shared" si="0"/>
        <v>1.393032757779681E-3</v>
      </c>
      <c r="F15" s="316">
        <f t="shared" si="0"/>
        <v>1.2818037098039701E-3</v>
      </c>
      <c r="G15" s="316">
        <f t="shared" si="0"/>
        <v>1.3498051353725664E-3</v>
      </c>
      <c r="H15" s="316">
        <f t="shared" si="0"/>
        <v>1.5075785922310074E-3</v>
      </c>
      <c r="I15" s="278"/>
      <c r="J15" s="317">
        <f>AVERAGE(D69:INDEX(D69:H69,0,MATCH(Data!$B$3,$D$7:$H$7,0)))/AVERAGE($D$90:INDEX($D$90:$H$90,0,MATCH(Data!$B$3,$D$7:$H$7,0)))</f>
        <v>-1.8154054638323822E-3</v>
      </c>
      <c r="K15" s="317">
        <f t="shared" si="1"/>
        <v>8.3105533752955588E-4</v>
      </c>
      <c r="L15" s="504"/>
      <c r="M15" s="505"/>
      <c r="N15" s="256"/>
      <c r="O15" s="256"/>
      <c r="P15" s="256"/>
      <c r="Q15" s="256"/>
      <c r="R15" s="256"/>
      <c r="S15" s="256"/>
      <c r="T15" s="256"/>
      <c r="U15" s="256"/>
      <c r="V15" s="256"/>
      <c r="W15" s="256"/>
    </row>
    <row r="16" spans="1:23">
      <c r="A16" s="339" t="s">
        <v>215</v>
      </c>
      <c r="B16" s="276" t="s">
        <v>112</v>
      </c>
      <c r="C16" s="277" t="s">
        <v>163</v>
      </c>
      <c r="D16" s="316">
        <f t="shared" si="0"/>
        <v>-6.9120340998830004E-3</v>
      </c>
      <c r="E16" s="316">
        <f t="shared" si="0"/>
        <v>-1.6623164948059766E-3</v>
      </c>
      <c r="F16" s="316">
        <f t="shared" si="0"/>
        <v>-8.5461028713487778E-5</v>
      </c>
      <c r="G16" s="316">
        <f t="shared" si="0"/>
        <v>9.4452344924844916E-4</v>
      </c>
      <c r="H16" s="316">
        <f t="shared" si="0"/>
        <v>9.1460904938173659E-4</v>
      </c>
      <c r="I16" s="278"/>
      <c r="J16" s="317">
        <f>AVERAGE(D70:INDEX(D70:H70,0,MATCH(Data!$B$3,$D$7:$H$7,0)))/AVERAGE($D$90:INDEX($D$90:$H$90,0,MATCH(Data!$B$3,$D$7:$H$7,0)))</f>
        <v>-6.9120340998830004E-3</v>
      </c>
      <c r="K16" s="317">
        <f t="shared" si="1"/>
        <v>-1.1048222168567677E-3</v>
      </c>
      <c r="L16" s="504"/>
      <c r="M16" s="505"/>
      <c r="N16" s="256"/>
      <c r="O16" s="256"/>
      <c r="P16" s="256"/>
      <c r="Q16" s="256"/>
      <c r="R16" s="256"/>
      <c r="S16" s="256"/>
      <c r="T16" s="256"/>
      <c r="U16" s="256"/>
      <c r="V16" s="256"/>
      <c r="W16" s="256"/>
    </row>
    <row r="17" spans="1:23">
      <c r="A17" s="339" t="s">
        <v>216</v>
      </c>
      <c r="B17" s="276" t="s">
        <v>113</v>
      </c>
      <c r="C17" s="277" t="s">
        <v>163</v>
      </c>
      <c r="D17" s="316">
        <f t="shared" si="0"/>
        <v>-4.6571117498518341E-4</v>
      </c>
      <c r="E17" s="316">
        <f t="shared" si="0"/>
        <v>0</v>
      </c>
      <c r="F17" s="316">
        <f t="shared" si="0"/>
        <v>0</v>
      </c>
      <c r="G17" s="316">
        <f t="shared" si="0"/>
        <v>0</v>
      </c>
      <c r="H17" s="316">
        <f t="shared" si="0"/>
        <v>0</v>
      </c>
      <c r="I17" s="278"/>
      <c r="J17" s="317">
        <f>AVERAGE(D71:INDEX(D71:H71,0,MATCH(Data!$B$3,$D$7:$H$7,0)))/AVERAGE($D$90:INDEX($D$90:$H$90,0,MATCH(Data!$B$3,$D$7:$H$7,0)))</f>
        <v>-4.6571117498518341E-4</v>
      </c>
      <c r="K17" s="317">
        <f t="shared" si="1"/>
        <v>-8.0836704191110774E-5</v>
      </c>
      <c r="L17" s="504"/>
      <c r="M17" s="505"/>
      <c r="N17" s="256"/>
      <c r="O17" s="256"/>
      <c r="P17" s="256"/>
      <c r="Q17" s="256"/>
      <c r="R17" s="256"/>
      <c r="S17" s="256"/>
      <c r="T17" s="256"/>
      <c r="U17" s="256"/>
      <c r="V17" s="256"/>
      <c r="W17" s="256"/>
    </row>
    <row r="18" spans="1:23">
      <c r="A18" s="339" t="s">
        <v>217</v>
      </c>
      <c r="B18" s="276" t="s">
        <v>114</v>
      </c>
      <c r="C18" s="277" t="s">
        <v>163</v>
      </c>
      <c r="D18" s="316">
        <f t="shared" si="0"/>
        <v>0</v>
      </c>
      <c r="E18" s="316">
        <f t="shared" si="0"/>
        <v>1.2068560393357045E-3</v>
      </c>
      <c r="F18" s="316">
        <f t="shared" si="0"/>
        <v>0</v>
      </c>
      <c r="G18" s="316">
        <f t="shared" si="0"/>
        <v>0</v>
      </c>
      <c r="H18" s="316">
        <f t="shared" si="0"/>
        <v>2.2267759080045707E-3</v>
      </c>
      <c r="I18" s="278"/>
      <c r="J18" s="317">
        <f>AVERAGE(D72:INDEX(D72:H72,0,MATCH(Data!$B$3,$D$7:$H$7,0)))/AVERAGE($D$90:INDEX($D$90:$H$90,0,MATCH(Data!$B$3,$D$7:$H$7,0)))</f>
        <v>0</v>
      </c>
      <c r="K18" s="317">
        <f t="shared" si="1"/>
        <v>7.3139525758367837E-4</v>
      </c>
      <c r="L18" s="504"/>
      <c r="M18" s="505"/>
      <c r="N18" s="256"/>
      <c r="O18" s="256"/>
      <c r="P18" s="256"/>
      <c r="Q18" s="256"/>
      <c r="R18" s="256"/>
      <c r="S18" s="256"/>
      <c r="T18" s="256"/>
      <c r="U18" s="256"/>
      <c r="V18" s="256"/>
      <c r="W18" s="256"/>
    </row>
    <row r="19" spans="1:23">
      <c r="A19" s="339" t="s">
        <v>218</v>
      </c>
      <c r="B19" s="276" t="s">
        <v>115</v>
      </c>
      <c r="C19" s="277" t="s">
        <v>163</v>
      </c>
      <c r="D19" s="316">
        <f t="shared" si="0"/>
        <v>1.3720447074479284E-3</v>
      </c>
      <c r="E19" s="316">
        <f t="shared" si="0"/>
        <v>1.2872709340339902E-3</v>
      </c>
      <c r="F19" s="316">
        <f t="shared" si="0"/>
        <v>1.3086415841229296E-3</v>
      </c>
      <c r="G19" s="316">
        <f t="shared" si="0"/>
        <v>1.3169520274002233E-3</v>
      </c>
      <c r="H19" s="316">
        <f t="shared" si="0"/>
        <v>1.2676241682485121E-3</v>
      </c>
      <c r="I19" s="278"/>
      <c r="J19" s="317">
        <f>AVERAGE(D73:INDEX(D73:H73,0,MATCH(Data!$B$3,$D$7:$H$7,0)))/AVERAGE($D$90:INDEX($D$90:$H$90,0,MATCH(Data!$B$3,$D$7:$H$7,0)))</f>
        <v>1.3720447074479284E-3</v>
      </c>
      <c r="K19" s="317">
        <f t="shared" si="1"/>
        <v>1.3081309442069952E-3</v>
      </c>
      <c r="L19" s="504"/>
      <c r="M19" s="505"/>
      <c r="N19" s="256"/>
      <c r="O19" s="256"/>
      <c r="P19" s="256"/>
      <c r="Q19" s="256"/>
      <c r="R19" s="256"/>
      <c r="S19" s="256"/>
      <c r="T19" s="256"/>
      <c r="U19" s="256"/>
      <c r="V19" s="256"/>
      <c r="W19" s="256"/>
    </row>
    <row r="20" spans="1:23">
      <c r="A20" s="339" t="s">
        <v>219</v>
      </c>
      <c r="B20" s="276" t="s">
        <v>118</v>
      </c>
      <c r="C20" s="277" t="s">
        <v>163</v>
      </c>
      <c r="D20" s="316">
        <f t="shared" si="0"/>
        <v>-7.7822283058410628E-5</v>
      </c>
      <c r="E20" s="316">
        <f t="shared" si="0"/>
        <v>-1.5182852673985219E-4</v>
      </c>
      <c r="F20" s="316">
        <f t="shared" si="0"/>
        <v>-1.6964241978107219E-4</v>
      </c>
      <c r="G20" s="316">
        <f t="shared" si="0"/>
        <v>0</v>
      </c>
      <c r="H20" s="316">
        <f t="shared" si="0"/>
        <v>0</v>
      </c>
      <c r="I20" s="278"/>
      <c r="J20" s="317">
        <f>AVERAGE(D74:INDEX(D74:H74,0,MATCH(Data!$B$3,$D$7:$H$7,0)))/AVERAGE($D$90:INDEX($D$90:$H$90,0,MATCH(Data!$B$3,$D$7:$H$7,0)))</f>
        <v>-7.7822283058410628E-5</v>
      </c>
      <c r="K20" s="317">
        <f t="shared" si="1"/>
        <v>-7.4748078419617422E-5</v>
      </c>
      <c r="L20" s="504"/>
      <c r="M20" s="505"/>
      <c r="N20" s="256"/>
      <c r="O20" s="256"/>
      <c r="P20" s="256"/>
      <c r="Q20" s="256"/>
      <c r="R20" s="256"/>
      <c r="S20" s="256"/>
      <c r="T20" s="256"/>
      <c r="U20" s="256"/>
      <c r="V20" s="256"/>
      <c r="W20" s="256"/>
    </row>
    <row r="21" spans="1:23">
      <c r="A21" s="339" t="s">
        <v>220</v>
      </c>
      <c r="B21" s="276" t="s">
        <v>119</v>
      </c>
      <c r="C21" s="277" t="s">
        <v>163</v>
      </c>
      <c r="D21" s="316">
        <f t="shared" si="0"/>
        <v>-3.3391416496963924E-5</v>
      </c>
      <c r="E21" s="316">
        <f t="shared" si="0"/>
        <v>0</v>
      </c>
      <c r="F21" s="316">
        <f t="shared" si="0"/>
        <v>0</v>
      </c>
      <c r="G21" s="316">
        <f t="shared" si="0"/>
        <v>0</v>
      </c>
      <c r="H21" s="316">
        <f t="shared" si="0"/>
        <v>0</v>
      </c>
      <c r="I21" s="278"/>
      <c r="J21" s="317">
        <f>AVERAGE(D75:INDEX(D75:H75,0,MATCH(Data!$B$3,$D$7:$H$7,0)))/AVERAGE($D$90:INDEX($D$90:$H$90,0,MATCH(Data!$B$3,$D$7:$H$7,0)))</f>
        <v>-3.3391416496963924E-5</v>
      </c>
      <c r="K21" s="317">
        <f t="shared" si="1"/>
        <v>-5.7959787157203728E-6</v>
      </c>
      <c r="L21" s="504"/>
      <c r="M21" s="505"/>
      <c r="N21" s="256"/>
      <c r="O21" s="256"/>
      <c r="P21" s="256"/>
      <c r="Q21" s="256"/>
      <c r="R21" s="256"/>
      <c r="S21" s="256"/>
      <c r="T21" s="256"/>
      <c r="U21" s="256"/>
      <c r="V21" s="256"/>
      <c r="W21" s="256"/>
    </row>
    <row r="22" spans="1:23">
      <c r="A22" s="339" t="s">
        <v>221</v>
      </c>
      <c r="B22" s="276" t="s">
        <v>120</v>
      </c>
      <c r="C22" s="277" t="s">
        <v>163</v>
      </c>
      <c r="D22" s="316">
        <f t="shared" si="0"/>
        <v>-5.3967535475149891E-5</v>
      </c>
      <c r="E22" s="316">
        <f t="shared" si="0"/>
        <v>0</v>
      </c>
      <c r="F22" s="316">
        <f t="shared" si="0"/>
        <v>0</v>
      </c>
      <c r="G22" s="316">
        <f t="shared" si="0"/>
        <v>0</v>
      </c>
      <c r="H22" s="316">
        <f t="shared" si="0"/>
        <v>0</v>
      </c>
      <c r="I22" s="278"/>
      <c r="J22" s="317">
        <f>AVERAGE(D76:INDEX(D76:H76,0,MATCH(Data!$B$3,$D$7:$H$7,0)))/AVERAGE($D$90:INDEX($D$90:$H$90,0,MATCH(Data!$B$3,$D$7:$H$7,0)))</f>
        <v>-5.3967535475149891E-5</v>
      </c>
      <c r="K22" s="317">
        <f t="shared" si="1"/>
        <v>-9.3675177566154898E-6</v>
      </c>
      <c r="L22" s="504"/>
      <c r="M22" s="505"/>
      <c r="N22" s="256"/>
      <c r="O22" s="256"/>
      <c r="P22" s="256"/>
      <c r="Q22" s="256"/>
      <c r="R22" s="256"/>
      <c r="S22" s="256"/>
      <c r="T22" s="256"/>
      <c r="U22" s="256"/>
      <c r="V22" s="256"/>
      <c r="W22" s="256"/>
    </row>
    <row r="23" spans="1:23">
      <c r="A23" s="339" t="s">
        <v>222</v>
      </c>
      <c r="B23" s="276">
        <v>0</v>
      </c>
      <c r="C23" s="277" t="s">
        <v>163</v>
      </c>
      <c r="D23" s="316">
        <f t="shared" si="0"/>
        <v>0</v>
      </c>
      <c r="E23" s="316">
        <f t="shared" si="0"/>
        <v>0</v>
      </c>
      <c r="F23" s="316">
        <f t="shared" si="0"/>
        <v>0</v>
      </c>
      <c r="G23" s="316">
        <f t="shared" si="0"/>
        <v>0</v>
      </c>
      <c r="H23" s="316">
        <f t="shared" si="0"/>
        <v>0</v>
      </c>
      <c r="I23" s="278"/>
      <c r="J23" s="317">
        <f>AVERAGE(D77:INDEX(D77:H77,0,MATCH(Data!$B$3,$D$7:$H$7,0)))/AVERAGE($D$90:INDEX($D$90:$H$90,0,MATCH(Data!$B$3,$D$7:$H$7,0)))</f>
        <v>0</v>
      </c>
      <c r="K23" s="317">
        <f t="shared" si="1"/>
        <v>0</v>
      </c>
      <c r="L23" s="504"/>
      <c r="M23" s="505"/>
      <c r="N23" s="256"/>
      <c r="O23" s="256"/>
      <c r="P23" s="256"/>
      <c r="Q23" s="256"/>
      <c r="R23" s="256"/>
      <c r="S23" s="256"/>
      <c r="T23" s="256"/>
      <c r="U23" s="256"/>
      <c r="V23" s="256"/>
      <c r="W23" s="256"/>
    </row>
    <row r="24" spans="1:23">
      <c r="A24" s="339" t="s">
        <v>223</v>
      </c>
      <c r="B24" s="276">
        <v>0</v>
      </c>
      <c r="C24" s="277" t="s">
        <v>163</v>
      </c>
      <c r="D24" s="316">
        <f t="shared" si="0"/>
        <v>0</v>
      </c>
      <c r="E24" s="316">
        <f t="shared" si="0"/>
        <v>0</v>
      </c>
      <c r="F24" s="316">
        <f t="shared" si="0"/>
        <v>0</v>
      </c>
      <c r="G24" s="316">
        <f t="shared" si="0"/>
        <v>0</v>
      </c>
      <c r="H24" s="316">
        <f t="shared" si="0"/>
        <v>0</v>
      </c>
      <c r="I24" s="278"/>
      <c r="J24" s="317">
        <f>AVERAGE(D78:INDEX(D78:H78,0,MATCH(Data!$B$3,$D$7:$H$7,0)))/AVERAGE($D$90:INDEX($D$90:$H$90,0,MATCH(Data!$B$3,$D$7:$H$7,0)))</f>
        <v>0</v>
      </c>
      <c r="K24" s="317">
        <f t="shared" si="1"/>
        <v>0</v>
      </c>
      <c r="L24" s="504"/>
      <c r="M24" s="505"/>
      <c r="N24" s="256"/>
      <c r="O24" s="256"/>
      <c r="P24" s="256"/>
      <c r="Q24" s="256"/>
      <c r="R24" s="256"/>
      <c r="S24" s="256"/>
      <c r="T24" s="256"/>
      <c r="U24" s="256"/>
      <c r="V24" s="256"/>
      <c r="W24" s="256"/>
    </row>
    <row r="25" spans="1:23">
      <c r="A25" s="339" t="s">
        <v>224</v>
      </c>
      <c r="B25" s="276">
        <v>0</v>
      </c>
      <c r="C25" s="277" t="s">
        <v>163</v>
      </c>
      <c r="D25" s="316">
        <f t="shared" si="0"/>
        <v>0</v>
      </c>
      <c r="E25" s="316">
        <f t="shared" si="0"/>
        <v>0</v>
      </c>
      <c r="F25" s="316">
        <f t="shared" si="0"/>
        <v>0</v>
      </c>
      <c r="G25" s="316">
        <f t="shared" si="0"/>
        <v>0</v>
      </c>
      <c r="H25" s="316">
        <f t="shared" si="0"/>
        <v>0</v>
      </c>
      <c r="I25" s="278"/>
      <c r="J25" s="317">
        <f>AVERAGE(D79:INDEX(D79:H79,0,MATCH(Data!$B$3,$D$7:$H$7,0)))/AVERAGE($D$90:INDEX($D$90:$H$90,0,MATCH(Data!$B$3,$D$7:$H$7,0)))</f>
        <v>0</v>
      </c>
      <c r="K25" s="317">
        <f t="shared" si="1"/>
        <v>0</v>
      </c>
      <c r="L25" s="504"/>
      <c r="M25" s="505"/>
      <c r="N25" s="256"/>
      <c r="O25" s="256"/>
      <c r="P25" s="256"/>
      <c r="Q25" s="256"/>
      <c r="R25" s="256"/>
      <c r="S25" s="256"/>
      <c r="T25" s="256"/>
      <c r="U25" s="256"/>
      <c r="V25" s="256"/>
      <c r="W25" s="256"/>
    </row>
    <row r="26" spans="1:23">
      <c r="A26" s="339" t="s">
        <v>225</v>
      </c>
      <c r="B26" s="276">
        <v>0</v>
      </c>
      <c r="C26" s="277" t="s">
        <v>163</v>
      </c>
      <c r="D26" s="316">
        <f t="shared" si="0"/>
        <v>0</v>
      </c>
      <c r="E26" s="316">
        <f t="shared" si="0"/>
        <v>0</v>
      </c>
      <c r="F26" s="316">
        <f t="shared" si="0"/>
        <v>0</v>
      </c>
      <c r="G26" s="316">
        <f t="shared" si="0"/>
        <v>0</v>
      </c>
      <c r="H26" s="316">
        <f t="shared" si="0"/>
        <v>0</v>
      </c>
      <c r="I26" s="278"/>
      <c r="J26" s="317">
        <f>AVERAGE(D80:INDEX(D80:H80,0,MATCH(Data!$B$3,$D$7:$H$7,0)))/AVERAGE($D$90:INDEX($D$90:$H$90,0,MATCH(Data!$B$3,$D$7:$H$7,0)))</f>
        <v>0</v>
      </c>
      <c r="K26" s="317">
        <f t="shared" si="1"/>
        <v>0</v>
      </c>
      <c r="L26" s="504"/>
      <c r="M26" s="505"/>
      <c r="N26" s="256"/>
      <c r="O26" s="256"/>
      <c r="P26" s="256"/>
      <c r="Q26" s="256"/>
      <c r="R26" s="256"/>
      <c r="S26" s="256"/>
      <c r="T26" s="256"/>
      <c r="U26" s="256"/>
      <c r="V26" s="256"/>
      <c r="W26" s="256"/>
    </row>
    <row r="27" spans="1:23">
      <c r="A27" s="339" t="s">
        <v>226</v>
      </c>
      <c r="B27" s="276">
        <v>0</v>
      </c>
      <c r="C27" s="277" t="s">
        <v>163</v>
      </c>
      <c r="D27" s="316">
        <f t="shared" ref="D27:H28" si="2">D81/D$90</f>
        <v>0</v>
      </c>
      <c r="E27" s="316">
        <f t="shared" si="2"/>
        <v>0</v>
      </c>
      <c r="F27" s="316">
        <f t="shared" si="2"/>
        <v>0</v>
      </c>
      <c r="G27" s="316">
        <f t="shared" si="2"/>
        <v>0</v>
      </c>
      <c r="H27" s="316">
        <f t="shared" si="2"/>
        <v>0</v>
      </c>
      <c r="I27" s="278"/>
      <c r="J27" s="317">
        <f>AVERAGE(D81:INDEX(D81:H81,0,MATCH(Data!$B$3,$D$7:$H$7,0)))/AVERAGE($D$90:INDEX($D$90:$H$90,0,MATCH(Data!$B$3,$D$7:$H$7,0)))</f>
        <v>0</v>
      </c>
      <c r="K27" s="317">
        <f t="shared" si="1"/>
        <v>0</v>
      </c>
      <c r="L27" s="504"/>
      <c r="M27" s="505"/>
      <c r="N27" s="256"/>
      <c r="O27" s="256"/>
      <c r="P27" s="256"/>
      <c r="Q27" s="256"/>
      <c r="R27" s="256"/>
      <c r="S27" s="256"/>
      <c r="T27" s="256"/>
      <c r="U27" s="256"/>
      <c r="V27" s="256"/>
      <c r="W27" s="256"/>
    </row>
    <row r="28" spans="1:23">
      <c r="A28" s="338"/>
      <c r="B28" s="276" t="s">
        <v>121</v>
      </c>
      <c r="C28" s="277" t="s">
        <v>163</v>
      </c>
      <c r="D28" s="316">
        <f t="shared" si="2"/>
        <v>-9.4289121179200121E-4</v>
      </c>
      <c r="E28" s="316">
        <f t="shared" si="2"/>
        <v>0</v>
      </c>
      <c r="F28" s="316">
        <f t="shared" si="2"/>
        <v>0</v>
      </c>
      <c r="G28" s="316">
        <f t="shared" si="2"/>
        <v>0</v>
      </c>
      <c r="H28" s="316">
        <f t="shared" si="2"/>
        <v>0</v>
      </c>
      <c r="I28" s="278"/>
      <c r="J28" s="317">
        <f>AVERAGE(D82:INDEX(D82:H82,0,MATCH(Data!$B$3,$D$7:$H$7,0)))/AVERAGE($D$90:INDEX($D$90:$H$90,0,MATCH(Data!$B$3,$D$7:$H$7,0)))</f>
        <v>-9.4289121179200121E-4</v>
      </c>
      <c r="K28" s="317">
        <f t="shared" si="1"/>
        <v>-1.6366413791649498E-4</v>
      </c>
      <c r="L28" s="504"/>
      <c r="M28" s="505"/>
      <c r="N28" s="256"/>
      <c r="O28" s="256"/>
      <c r="P28" s="256"/>
      <c r="Q28" s="256"/>
      <c r="R28" s="256"/>
      <c r="S28" s="256"/>
      <c r="T28" s="256"/>
      <c r="U28" s="256"/>
      <c r="V28" s="256"/>
      <c r="W28" s="256"/>
    </row>
    <row r="29" spans="1:23">
      <c r="A29" s="338"/>
      <c r="B29" s="279" t="s">
        <v>122</v>
      </c>
      <c r="C29" s="281" t="s">
        <v>163</v>
      </c>
      <c r="D29" s="324">
        <f>SUM(D11:D28)</f>
        <v>6.8188470472565696E-2</v>
      </c>
      <c r="E29" s="324">
        <f t="shared" ref="E29:G29" si="3">SUM(E11:E28)</f>
        <v>7.7581831615803565E-2</v>
      </c>
      <c r="F29" s="324">
        <f t="shared" si="3"/>
        <v>4.0002895298383148E-2</v>
      </c>
      <c r="G29" s="324">
        <f t="shared" si="3"/>
        <v>2.9503371568116707E-2</v>
      </c>
      <c r="H29" s="324">
        <f>SUM(H11:H28)</f>
        <v>8.1577456480640118E-2</v>
      </c>
      <c r="I29" s="287"/>
      <c r="J29" s="151">
        <f>SUM(J11:J28)</f>
        <v>6.8188470472565696E-2</v>
      </c>
      <c r="K29" s="151">
        <f>SUM(K11:K28)</f>
        <v>5.9017584708425601E-2</v>
      </c>
      <c r="L29" s="514"/>
      <c r="M29" s="505"/>
      <c r="N29" s="256"/>
      <c r="O29" s="256"/>
      <c r="P29" s="256"/>
      <c r="Q29" s="256"/>
      <c r="R29" s="256"/>
      <c r="S29" s="256"/>
      <c r="T29" s="256"/>
      <c r="U29" s="256"/>
      <c r="V29" s="256"/>
      <c r="W29" s="256"/>
    </row>
    <row r="30" spans="1:23">
      <c r="A30" s="338"/>
      <c r="B30" s="276" t="s">
        <v>123</v>
      </c>
      <c r="C30" s="277" t="s">
        <v>163</v>
      </c>
      <c r="D30" s="282">
        <f>(D84)/D$90</f>
        <v>9.6828855636186345E-2</v>
      </c>
      <c r="E30" s="283">
        <f t="shared" ref="E30:H30" si="4">(E84)/E$90</f>
        <v>5.123814415706693E-3</v>
      </c>
      <c r="F30" s="283">
        <f t="shared" si="4"/>
        <v>5.2225000823219389E-3</v>
      </c>
      <c r="G30" s="283">
        <f t="shared" si="4"/>
        <v>-7.4558972695137277E-3</v>
      </c>
      <c r="H30" s="283">
        <f t="shared" si="4"/>
        <v>6.7875361021981851E-3</v>
      </c>
      <c r="I30" s="194"/>
      <c r="J30" s="317">
        <f>AVERAGE(D84:INDEX(D84:H84,0,MATCH(Data!$B$3,$D$7:$H$7,0)))/AVERAGE($D$90:INDEX($D$90:$H$90,0,MATCH(Data!$B$3,$D$7:$H$7,0)))</f>
        <v>9.6828855636186345E-2</v>
      </c>
      <c r="K30" s="285">
        <f>AVERAGE(D84:H84)/AVERAGE($D$90:$H$90)</f>
        <v>1.8719035520904214E-2</v>
      </c>
      <c r="L30" s="504"/>
      <c r="M30" s="505"/>
      <c r="N30" s="256"/>
      <c r="O30" s="256"/>
      <c r="P30" s="256"/>
      <c r="Q30" s="256"/>
      <c r="R30" s="256"/>
      <c r="S30" s="256"/>
      <c r="T30" s="256"/>
      <c r="U30" s="256"/>
      <c r="V30" s="256"/>
      <c r="W30" s="256"/>
    </row>
    <row r="31" spans="1:23">
      <c r="A31" s="338"/>
      <c r="B31" s="276" t="s">
        <v>124</v>
      </c>
      <c r="C31" s="277" t="s">
        <v>163</v>
      </c>
      <c r="D31" s="282">
        <f>(D86)/D$90</f>
        <v>-2.0119970345755063E-3</v>
      </c>
      <c r="E31" s="283">
        <f t="shared" ref="E31:H31" si="5">(E86)/E$90</f>
        <v>1.5983387453047998E-3</v>
      </c>
      <c r="F31" s="283">
        <f t="shared" si="5"/>
        <v>1.3110011901415948E-3</v>
      </c>
      <c r="G31" s="283">
        <f t="shared" si="5"/>
        <v>8.0831149138241743E-4</v>
      </c>
      <c r="H31" s="283">
        <f t="shared" si="5"/>
        <v>1.0794584645516243E-3</v>
      </c>
      <c r="I31" s="194"/>
      <c r="J31" s="317">
        <f>AVERAGE(D86:INDEX(D86:H86,0,MATCH(Data!$B$3,$D$7:$H$7,0)))/AVERAGE($D$90:INDEX($D$90:$H$90,0,MATCH(Data!$B$3,$D$7:$H$7,0)))</f>
        <v>-2.0119970345755063E-3</v>
      </c>
      <c r="K31" s="285">
        <f>AVERAGE(D86:H86)/AVERAGE($D$90:$H$90)</f>
        <v>6.2448596619635018E-4</v>
      </c>
      <c r="L31" s="504"/>
      <c r="M31" s="505"/>
      <c r="N31" s="256"/>
      <c r="O31" s="256"/>
      <c r="P31" s="256"/>
      <c r="Q31" s="256"/>
      <c r="R31" s="256"/>
      <c r="S31" s="256"/>
      <c r="T31" s="256"/>
      <c r="U31" s="256"/>
      <c r="V31" s="256"/>
      <c r="W31" s="256"/>
    </row>
    <row r="32" spans="1:23">
      <c r="A32" s="338"/>
      <c r="B32" s="279" t="s">
        <v>125</v>
      </c>
      <c r="C32" s="281" t="s">
        <v>163</v>
      </c>
      <c r="D32" s="151">
        <f>SUM(D29:D31)</f>
        <v>0.16300532907417653</v>
      </c>
      <c r="E32" s="325">
        <f t="shared" ref="E32:H32" si="6">SUM(E29:E31)</f>
        <v>8.4303984776815055E-2</v>
      </c>
      <c r="F32" s="325">
        <f>SUM(F29:F31)</f>
        <v>4.6536396570846683E-2</v>
      </c>
      <c r="G32" s="325">
        <f t="shared" si="6"/>
        <v>2.2855785789985397E-2</v>
      </c>
      <c r="H32" s="325">
        <f t="shared" si="6"/>
        <v>8.9444451047389933E-2</v>
      </c>
      <c r="I32" s="287"/>
      <c r="J32" s="151">
        <f>SUM(J29:J31)</f>
        <v>0.16300532907417653</v>
      </c>
      <c r="K32" s="323">
        <f>SUM(K29:K31)</f>
        <v>7.8361106195526165E-2</v>
      </c>
      <c r="L32" s="514"/>
      <c r="M32" s="505"/>
      <c r="N32" s="256"/>
      <c r="O32" s="256"/>
      <c r="P32" s="256"/>
      <c r="Q32" s="256"/>
      <c r="R32" s="256"/>
      <c r="S32" s="256"/>
      <c r="T32" s="256"/>
      <c r="U32" s="256"/>
      <c r="V32" s="256"/>
      <c r="W32" s="256"/>
    </row>
    <row r="33" spans="1:23">
      <c r="A33" s="338"/>
      <c r="B33" s="265"/>
      <c r="C33" s="256"/>
      <c r="D33" s="278"/>
      <c r="E33" s="278"/>
      <c r="F33" s="278"/>
      <c r="G33" s="278"/>
      <c r="H33" s="278"/>
      <c r="I33" s="278"/>
      <c r="J33" s="278"/>
      <c r="K33" s="278"/>
      <c r="L33" s="505"/>
      <c r="M33" s="505"/>
      <c r="N33" s="256"/>
      <c r="O33" s="256"/>
      <c r="P33" s="256"/>
      <c r="Q33" s="256"/>
      <c r="R33" s="256"/>
      <c r="S33" s="256"/>
      <c r="T33" s="256"/>
      <c r="U33" s="256"/>
      <c r="V33" s="256"/>
      <c r="W33" s="256"/>
    </row>
    <row r="34" spans="1:23">
      <c r="A34" s="338"/>
      <c r="B34" s="265"/>
      <c r="C34" s="256"/>
      <c r="D34" s="278"/>
      <c r="E34" s="278"/>
      <c r="F34" s="278"/>
      <c r="G34" s="278"/>
      <c r="H34" s="278"/>
      <c r="I34" s="518"/>
      <c r="J34" s="518"/>
      <c r="K34" s="278"/>
      <c r="L34" s="505"/>
      <c r="M34" s="505"/>
      <c r="N34" s="256"/>
      <c r="O34" s="256"/>
      <c r="P34" s="256"/>
      <c r="Q34" s="256"/>
      <c r="R34" s="256"/>
      <c r="S34" s="256"/>
      <c r="T34" s="256"/>
      <c r="U34" s="256"/>
      <c r="V34" s="256"/>
      <c r="W34" s="256"/>
    </row>
    <row r="35" spans="1:23">
      <c r="A35" s="338"/>
      <c r="B35" s="265"/>
      <c r="C35" s="256"/>
      <c r="D35" s="278"/>
      <c r="E35" s="278"/>
      <c r="F35" s="278"/>
      <c r="G35" s="278"/>
      <c r="H35" s="278"/>
      <c r="I35" s="518"/>
      <c r="J35" s="518"/>
      <c r="K35" s="278"/>
      <c r="L35" s="505"/>
      <c r="M35" s="505"/>
      <c r="N35" s="256"/>
      <c r="O35" s="256"/>
      <c r="P35" s="256"/>
      <c r="Q35" s="256"/>
      <c r="R35" s="256"/>
      <c r="S35" s="256"/>
      <c r="T35" s="256"/>
      <c r="U35" s="256"/>
      <c r="V35" s="256"/>
      <c r="W35" s="256"/>
    </row>
    <row r="36" spans="1:23">
      <c r="A36" s="338"/>
      <c r="B36" s="273" t="s">
        <v>57</v>
      </c>
      <c r="C36" s="274"/>
      <c r="D36" s="320"/>
      <c r="E36" s="320"/>
      <c r="F36" s="320"/>
      <c r="G36" s="320"/>
      <c r="H36" s="320"/>
      <c r="I36" s="519"/>
      <c r="J36" s="519"/>
      <c r="K36" s="320"/>
      <c r="L36" s="513"/>
      <c r="M36" s="513"/>
      <c r="N36" s="256"/>
      <c r="O36" s="256"/>
      <c r="P36" s="256"/>
      <c r="Q36" s="256"/>
      <c r="R36" s="256"/>
      <c r="S36" s="256"/>
      <c r="T36" s="256"/>
      <c r="U36" s="256"/>
      <c r="V36" s="256"/>
      <c r="W36" s="256"/>
    </row>
    <row r="37" spans="1:23">
      <c r="A37" s="338"/>
      <c r="B37" s="275"/>
      <c r="C37" s="256"/>
      <c r="D37" s="278"/>
      <c r="E37" s="278"/>
      <c r="F37" s="278"/>
      <c r="G37" s="278"/>
      <c r="H37" s="278"/>
      <c r="I37" s="515"/>
      <c r="J37" s="515"/>
      <c r="K37" s="278"/>
      <c r="L37" s="505"/>
      <c r="M37" s="505"/>
      <c r="N37" s="256"/>
      <c r="O37" s="256"/>
      <c r="P37" s="256"/>
      <c r="Q37" s="256"/>
      <c r="R37" s="256"/>
      <c r="S37" s="256"/>
      <c r="T37" s="256"/>
      <c r="U37" s="256"/>
      <c r="V37" s="256"/>
      <c r="W37" s="256"/>
    </row>
    <row r="38" spans="1:23">
      <c r="A38" s="338"/>
      <c r="B38" s="276" t="s">
        <v>107</v>
      </c>
      <c r="C38" s="277" t="s">
        <v>163</v>
      </c>
      <c r="D38" s="407">
        <f t="shared" ref="D38:H53" si="7">D65/D$91</f>
        <v>4.4995057908195538E-2</v>
      </c>
      <c r="E38" s="407">
        <f t="shared" si="7"/>
        <v>5.5898636586072893E-2</v>
      </c>
      <c r="F38" s="407">
        <f t="shared" si="7"/>
        <v>5.5228721730093695E-2</v>
      </c>
      <c r="G38" s="407">
        <f t="shared" si="7"/>
        <v>5.5295410344416325E-2</v>
      </c>
      <c r="H38" s="407">
        <f t="shared" si="7"/>
        <v>5.5503686312857653E-2</v>
      </c>
      <c r="I38" s="194"/>
      <c r="J38" s="407">
        <f>AVERAGE(D65:INDEX(D65:H65,0,MATCH(Data!$B$3,$D$7:$H$7,0)))/AVERAGE($D$91:INDEX($D$91:$H$91,0,MATCH(Data!$B$3,$D$7:$H$7,0)))</f>
        <v>4.4995057908195538E-2</v>
      </c>
      <c r="K38" s="407">
        <f t="shared" ref="K38:K55" si="8">AVERAGE(D65:H65)/AVERAGE($D$91:$H$91)</f>
        <v>5.3397465974800842E-2</v>
      </c>
      <c r="L38" s="505"/>
      <c r="M38" s="505"/>
      <c r="N38" s="256"/>
      <c r="O38" s="256"/>
      <c r="P38" s="256"/>
      <c r="Q38" s="256"/>
      <c r="R38" s="256"/>
      <c r="S38" s="256"/>
      <c r="T38" s="256"/>
      <c r="U38" s="256"/>
      <c r="V38" s="256"/>
      <c r="W38" s="256"/>
    </row>
    <row r="39" spans="1:23">
      <c r="A39" s="338"/>
      <c r="B39" s="276" t="s">
        <v>108</v>
      </c>
      <c r="C39" s="277" t="s">
        <v>163</v>
      </c>
      <c r="D39" s="407">
        <f t="shared" si="7"/>
        <v>1.8272723215681953E-2</v>
      </c>
      <c r="E39" s="407">
        <f t="shared" si="7"/>
        <v>1.9186638229202635E-2</v>
      </c>
      <c r="F39" s="407">
        <f t="shared" si="7"/>
        <v>-1.7993367910483754E-2</v>
      </c>
      <c r="G39" s="407">
        <f t="shared" si="7"/>
        <v>-2.9842670678423663E-2</v>
      </c>
      <c r="H39" s="407">
        <f t="shared" si="7"/>
        <v>1.9745815537022055E-2</v>
      </c>
      <c r="I39" s="194"/>
      <c r="J39" s="407">
        <f>AVERAGE(D66:INDEX(D66:H66,0,MATCH(Data!$B$3,$D$7:$H$7,0)))/AVERAGE($D$91:INDEX($D$91:$H$91,0,MATCH(Data!$B$3,$D$7:$H$7,0)))</f>
        <v>1.8272723215681953E-2</v>
      </c>
      <c r="K39" s="407">
        <f t="shared" si="8"/>
        <v>1.6779331020620393E-3</v>
      </c>
      <c r="L39" s="505"/>
      <c r="M39" s="505"/>
      <c r="N39" s="256"/>
      <c r="O39" s="256"/>
      <c r="P39" s="256"/>
      <c r="Q39" s="256"/>
      <c r="R39" s="256"/>
      <c r="S39" s="256"/>
      <c r="T39" s="256"/>
      <c r="U39" s="256"/>
      <c r="V39" s="256"/>
      <c r="W39" s="256"/>
    </row>
    <row r="40" spans="1:23">
      <c r="A40" s="339" t="s">
        <v>212</v>
      </c>
      <c r="B40" s="276" t="s">
        <v>109</v>
      </c>
      <c r="C40" s="277" t="s">
        <v>163</v>
      </c>
      <c r="D40" s="407">
        <f t="shared" si="7"/>
        <v>1.9061785343702379E-3</v>
      </c>
      <c r="E40" s="407">
        <f t="shared" si="7"/>
        <v>0</v>
      </c>
      <c r="F40" s="407">
        <f t="shared" si="7"/>
        <v>0</v>
      </c>
      <c r="G40" s="407">
        <f t="shared" si="7"/>
        <v>0</v>
      </c>
      <c r="H40" s="407">
        <f t="shared" si="7"/>
        <v>0</v>
      </c>
      <c r="I40" s="194"/>
      <c r="J40" s="407">
        <f>AVERAGE(D67:INDEX(D67:H67,0,MATCH(Data!$B$3,$D$7:$H$7,0)))/AVERAGE($D$91:INDEX($D$91:$H$91,0,MATCH(Data!$B$3,$D$7:$H$7,0)))</f>
        <v>1.9061785343702379E-3</v>
      </c>
      <c r="K40" s="407">
        <f t="shared" si="8"/>
        <v>3.7719150121389209E-4</v>
      </c>
      <c r="L40" s="505"/>
      <c r="M40" s="505"/>
      <c r="N40" s="256"/>
      <c r="O40" s="256"/>
      <c r="P40" s="256"/>
      <c r="Q40" s="256"/>
      <c r="R40" s="256"/>
      <c r="S40" s="256"/>
      <c r="T40" s="256"/>
      <c r="U40" s="256"/>
      <c r="V40" s="256"/>
      <c r="W40" s="256"/>
    </row>
    <row r="41" spans="1:23">
      <c r="A41" s="339" t="s">
        <v>213</v>
      </c>
      <c r="B41" s="276" t="s">
        <v>110</v>
      </c>
      <c r="C41" s="277" t="s">
        <v>163</v>
      </c>
      <c r="D41" s="407">
        <f t="shared" si="7"/>
        <v>5.01869507146056E-4</v>
      </c>
      <c r="E41" s="407">
        <f t="shared" si="7"/>
        <v>4.548651023962391E-4</v>
      </c>
      <c r="F41" s="407">
        <f t="shared" si="7"/>
        <v>4.6858325923587453E-4</v>
      </c>
      <c r="G41" s="407">
        <f t="shared" si="7"/>
        <v>4.2772019106133676E-4</v>
      </c>
      <c r="H41" s="407">
        <f t="shared" si="7"/>
        <v>4.3107297959646293E-4</v>
      </c>
      <c r="I41" s="194"/>
      <c r="J41" s="407">
        <f>AVERAGE(D68:INDEX(D68:H68,0,MATCH(Data!$B$3,$D$7:$H$7,0)))/AVERAGE($D$91:INDEX($D$91:$H$91,0,MATCH(Data!$B$3,$D$7:$H$7,0)))</f>
        <v>5.01869507146056E-4</v>
      </c>
      <c r="K41" s="407">
        <f t="shared" si="8"/>
        <v>4.5578509348660653E-4</v>
      </c>
      <c r="L41" s="505"/>
      <c r="M41" s="505"/>
      <c r="N41" s="256"/>
      <c r="O41" s="256"/>
      <c r="P41" s="256"/>
      <c r="Q41" s="256"/>
      <c r="R41" s="256"/>
      <c r="S41" s="256"/>
      <c r="T41" s="256"/>
      <c r="U41" s="256"/>
      <c r="V41" s="256"/>
      <c r="W41" s="256"/>
    </row>
    <row r="42" spans="1:23">
      <c r="A42" s="339" t="s">
        <v>214</v>
      </c>
      <c r="B42" s="276" t="s">
        <v>111</v>
      </c>
      <c r="C42" s="277" t="s">
        <v>163</v>
      </c>
      <c r="D42" s="407">
        <f t="shared" si="7"/>
        <v>-1.5460567163411577E-3</v>
      </c>
      <c r="E42" s="407">
        <f t="shared" si="7"/>
        <v>1.3936106238202344E-3</v>
      </c>
      <c r="F42" s="407">
        <f t="shared" si="7"/>
        <v>1.2830418222475239E-3</v>
      </c>
      <c r="G42" s="407">
        <f t="shared" si="7"/>
        <v>1.3491987835239333E-3</v>
      </c>
      <c r="H42" s="407">
        <f t="shared" si="7"/>
        <v>1.5079712449295902E-3</v>
      </c>
      <c r="I42" s="194"/>
      <c r="J42" s="407">
        <f>AVERAGE(D69:INDEX(D69:H69,0,MATCH(Data!$B$3,$D$7:$H$7,0)))/AVERAGE($D$91:INDEX($D$91:$H$91,0,MATCH(Data!$B$3,$D$7:$H$7,0)))</f>
        <v>-1.5460567163411577E-3</v>
      </c>
      <c r="K42" s="407">
        <f t="shared" si="8"/>
        <v>8.0684128338855815E-4</v>
      </c>
      <c r="L42" s="505"/>
      <c r="M42" s="505"/>
      <c r="N42" s="256"/>
      <c r="O42" s="256"/>
      <c r="P42" s="256"/>
      <c r="Q42" s="256"/>
      <c r="R42" s="256"/>
      <c r="S42" s="256"/>
      <c r="T42" s="256"/>
      <c r="U42" s="256"/>
      <c r="V42" s="256"/>
      <c r="W42" s="256"/>
    </row>
    <row r="43" spans="1:23">
      <c r="A43" s="339" t="s">
        <v>215</v>
      </c>
      <c r="B43" s="276" t="s">
        <v>112</v>
      </c>
      <c r="C43" s="277" t="s">
        <v>163</v>
      </c>
      <c r="D43" s="407">
        <f t="shared" si="7"/>
        <v>-5.8865068749676883E-3</v>
      </c>
      <c r="E43" s="407">
        <f t="shared" si="7"/>
        <v>-1.6630060667098931E-3</v>
      </c>
      <c r="F43" s="407">
        <f t="shared" si="7"/>
        <v>-8.554357673724507E-5</v>
      </c>
      <c r="G43" s="407">
        <f t="shared" si="7"/>
        <v>9.4409915575265427E-4</v>
      </c>
      <c r="H43" s="407">
        <f t="shared" si="7"/>
        <v>9.1484726164691376E-4</v>
      </c>
      <c r="I43" s="194"/>
      <c r="J43" s="407">
        <f>AVERAGE(D70:INDEX(D70:H70,0,MATCH(Data!$B$3,$D$7:$H$7,0)))/AVERAGE($D$91:INDEX($D$91:$H$91,0,MATCH(Data!$B$3,$D$7:$H$7,0)))</f>
        <v>-5.8865068749676883E-3</v>
      </c>
      <c r="K43" s="407">
        <f t="shared" si="8"/>
        <v>-1.0726315506435259E-3</v>
      </c>
      <c r="L43" s="505"/>
      <c r="M43" s="505"/>
      <c r="N43" s="256"/>
      <c r="O43" s="256"/>
      <c r="P43" s="256"/>
      <c r="Q43" s="256"/>
      <c r="R43" s="256"/>
      <c r="S43" s="256"/>
      <c r="T43" s="256"/>
      <c r="U43" s="256"/>
      <c r="V43" s="256"/>
      <c r="W43" s="256"/>
    </row>
    <row r="44" spans="1:23">
      <c r="A44" s="339" t="s">
        <v>216</v>
      </c>
      <c r="B44" s="276" t="s">
        <v>113</v>
      </c>
      <c r="C44" s="277" t="s">
        <v>163</v>
      </c>
      <c r="D44" s="407">
        <f t="shared" si="7"/>
        <v>-3.9661436759201834E-4</v>
      </c>
      <c r="E44" s="407">
        <f t="shared" si="7"/>
        <v>0</v>
      </c>
      <c r="F44" s="407">
        <f t="shared" si="7"/>
        <v>0</v>
      </c>
      <c r="G44" s="407">
        <f t="shared" si="7"/>
        <v>0</v>
      </c>
      <c r="H44" s="407">
        <f t="shared" si="7"/>
        <v>0</v>
      </c>
      <c r="I44" s="194"/>
      <c r="J44" s="407">
        <f>AVERAGE(D71:INDEX(D71:H71,0,MATCH(Data!$B$3,$D$7:$H$7,0)))/AVERAGE($D$91:INDEX($D$91:$H$91,0,MATCH(Data!$B$3,$D$7:$H$7,0)))</f>
        <v>-3.9661436759201834E-4</v>
      </c>
      <c r="K44" s="407">
        <f t="shared" si="8"/>
        <v>-7.8481404557656753E-5</v>
      </c>
      <c r="L44" s="505"/>
      <c r="M44" s="505"/>
      <c r="N44" s="256"/>
      <c r="O44" s="256"/>
      <c r="P44" s="256"/>
      <c r="Q44" s="256"/>
      <c r="R44" s="256"/>
      <c r="S44" s="256"/>
      <c r="T44" s="256"/>
      <c r="U44" s="256"/>
      <c r="V44" s="256"/>
      <c r="W44" s="256"/>
    </row>
    <row r="45" spans="1:23">
      <c r="A45" s="339" t="s">
        <v>217</v>
      </c>
      <c r="B45" s="276" t="s">
        <v>114</v>
      </c>
      <c r="C45" s="277" t="s">
        <v>163</v>
      </c>
      <c r="D45" s="407">
        <f t="shared" si="7"/>
        <v>0</v>
      </c>
      <c r="E45" s="407">
        <f t="shared" si="7"/>
        <v>1.2073566744550683E-3</v>
      </c>
      <c r="F45" s="407">
        <f t="shared" si="7"/>
        <v>0</v>
      </c>
      <c r="G45" s="407">
        <f t="shared" si="7"/>
        <v>0</v>
      </c>
      <c r="H45" s="407">
        <f t="shared" si="7"/>
        <v>2.2273558774827278E-3</v>
      </c>
      <c r="I45" s="194"/>
      <c r="J45" s="407">
        <f>AVERAGE(D72:INDEX(D72:H72,0,MATCH(Data!$B$3,$D$7:$H$7,0)))/AVERAGE($D$91:INDEX($D$91:$H$91,0,MATCH(Data!$B$3,$D$7:$H$7,0)))</f>
        <v>0</v>
      </c>
      <c r="K45" s="407">
        <f t="shared" si="8"/>
        <v>7.1008495059708687E-4</v>
      </c>
      <c r="L45" s="505"/>
      <c r="M45" s="505"/>
      <c r="N45" s="256"/>
      <c r="O45" s="256"/>
      <c r="P45" s="256"/>
      <c r="Q45" s="256"/>
      <c r="R45" s="256"/>
      <c r="S45" s="256"/>
      <c r="T45" s="256"/>
      <c r="U45" s="256"/>
      <c r="V45" s="256"/>
      <c r="W45" s="256"/>
    </row>
    <row r="46" spans="1:23">
      <c r="A46" s="339" t="s">
        <v>218</v>
      </c>
      <c r="B46" s="276" t="s">
        <v>115</v>
      </c>
      <c r="C46" s="277" t="s">
        <v>163</v>
      </c>
      <c r="D46" s="407">
        <f t="shared" si="7"/>
        <v>1.168476672198705E-3</v>
      </c>
      <c r="E46" s="407">
        <f t="shared" si="7"/>
        <v>1.2878049273328666E-3</v>
      </c>
      <c r="F46" s="407">
        <f t="shared" si="7"/>
        <v>1.309905619651195E-3</v>
      </c>
      <c r="G46" s="407">
        <f t="shared" si="7"/>
        <v>1.3163604336394285E-3</v>
      </c>
      <c r="H46" s="407">
        <f t="shared" si="7"/>
        <v>1.2679543242039074E-3</v>
      </c>
      <c r="I46" s="194"/>
      <c r="J46" s="407">
        <f>AVERAGE(D73:INDEX(D73:H73,0,MATCH(Data!$B$3,$D$7:$H$7,0)))/AVERAGE($D$91:INDEX($D$91:$H$91,0,MATCH(Data!$B$3,$D$7:$H$7,0)))</f>
        <v>1.168476672198705E-3</v>
      </c>
      <c r="K46" s="407">
        <f t="shared" si="8"/>
        <v>1.2700165707397574E-3</v>
      </c>
      <c r="L46" s="505"/>
      <c r="M46" s="505"/>
      <c r="N46" s="256"/>
      <c r="O46" s="256"/>
      <c r="P46" s="256"/>
      <c r="Q46" s="256"/>
      <c r="R46" s="256"/>
      <c r="S46" s="256"/>
      <c r="T46" s="256"/>
      <c r="U46" s="256"/>
      <c r="V46" s="256"/>
      <c r="W46" s="256"/>
    </row>
    <row r="47" spans="1:23">
      <c r="A47" s="339" t="s">
        <v>219</v>
      </c>
      <c r="B47" s="276" t="s">
        <v>118</v>
      </c>
      <c r="C47" s="277" t="s">
        <v>163</v>
      </c>
      <c r="D47" s="407">
        <f t="shared" si="7"/>
        <v>-6.6275917859949475E-5</v>
      </c>
      <c r="E47" s="407">
        <f t="shared" si="7"/>
        <v>-1.5189150914216842E-4</v>
      </c>
      <c r="F47" s="407">
        <f t="shared" si="7"/>
        <v>-1.6980627980837517E-4</v>
      </c>
      <c r="G47" s="407">
        <f t="shared" si="7"/>
        <v>0</v>
      </c>
      <c r="H47" s="407">
        <f t="shared" si="7"/>
        <v>0</v>
      </c>
      <c r="I47" s="194"/>
      <c r="J47" s="407">
        <f>AVERAGE(D74:INDEX(D74:H74,0,MATCH(Data!$B$3,$D$7:$H$7,0)))/AVERAGE($D$91:INDEX($D$91:$H$91,0,MATCH(Data!$B$3,$D$7:$H$7,0)))</f>
        <v>-6.6275917859949475E-5</v>
      </c>
      <c r="K47" s="407">
        <f t="shared" si="8"/>
        <v>-7.2570180106409378E-5</v>
      </c>
      <c r="L47" s="505"/>
      <c r="M47" s="505"/>
      <c r="N47" s="256"/>
      <c r="O47" s="256"/>
      <c r="P47" s="256"/>
      <c r="Q47" s="256"/>
      <c r="R47" s="256"/>
      <c r="S47" s="256"/>
      <c r="T47" s="256"/>
      <c r="U47" s="256"/>
      <c r="V47" s="256"/>
      <c r="W47" s="256"/>
    </row>
    <row r="48" spans="1:23">
      <c r="A48" s="339" t="s">
        <v>220</v>
      </c>
      <c r="B48" s="276" t="s">
        <v>119</v>
      </c>
      <c r="C48" s="277" t="s">
        <v>163</v>
      </c>
      <c r="D48" s="407">
        <f t="shared" si="7"/>
        <v>-2.8437186497331479E-5</v>
      </c>
      <c r="E48" s="407">
        <f t="shared" si="7"/>
        <v>0</v>
      </c>
      <c r="F48" s="407">
        <f t="shared" si="7"/>
        <v>0</v>
      </c>
      <c r="G48" s="407">
        <f t="shared" si="7"/>
        <v>0</v>
      </c>
      <c r="H48" s="407">
        <f t="shared" si="7"/>
        <v>0</v>
      </c>
      <c r="I48" s="194"/>
      <c r="J48" s="407">
        <f>AVERAGE(D75:INDEX(D75:H75,0,MATCH(Data!$B$3,$D$7:$H$7,0)))/AVERAGE($D$91:INDEX($D$91:$H$91,0,MATCH(Data!$B$3,$D$7:$H$7,0)))</f>
        <v>-2.8437186497331479E-5</v>
      </c>
      <c r="K48" s="407">
        <f t="shared" si="8"/>
        <v>-5.6271041100416238E-6</v>
      </c>
      <c r="L48" s="505"/>
      <c r="M48" s="505"/>
      <c r="N48" s="256"/>
      <c r="O48" s="256"/>
      <c r="P48" s="256"/>
      <c r="Q48" s="256"/>
      <c r="R48" s="256"/>
      <c r="S48" s="256"/>
      <c r="T48" s="256"/>
      <c r="U48" s="256"/>
      <c r="V48" s="256"/>
      <c r="W48" s="256"/>
    </row>
    <row r="49" spans="1:23">
      <c r="A49" s="339" t="s">
        <v>221</v>
      </c>
      <c r="B49" s="276" t="s">
        <v>120</v>
      </c>
      <c r="C49" s="277" t="s">
        <v>163</v>
      </c>
      <c r="D49" s="407">
        <f t="shared" si="7"/>
        <v>-4.596046026522204E-5</v>
      </c>
      <c r="E49" s="407">
        <f t="shared" si="7"/>
        <v>0</v>
      </c>
      <c r="F49" s="407">
        <f t="shared" si="7"/>
        <v>0</v>
      </c>
      <c r="G49" s="407">
        <f t="shared" si="7"/>
        <v>0</v>
      </c>
      <c r="H49" s="407">
        <f t="shared" si="7"/>
        <v>0</v>
      </c>
      <c r="I49" s="194"/>
      <c r="J49" s="407">
        <f>AVERAGE(D76:INDEX(D76:H76,0,MATCH(Data!$B$3,$D$7:$H$7,0)))/AVERAGE($D$91:INDEX($D$91:$H$91,0,MATCH(Data!$B$3,$D$7:$H$7,0)))</f>
        <v>-4.596046026522204E-5</v>
      </c>
      <c r="K49" s="407">
        <f t="shared" si="8"/>
        <v>-9.09458095941048E-6</v>
      </c>
      <c r="L49" s="505"/>
      <c r="M49" s="505"/>
      <c r="N49" s="256"/>
      <c r="O49" s="256"/>
      <c r="P49" s="256"/>
      <c r="Q49" s="256"/>
      <c r="R49" s="256"/>
      <c r="S49" s="256"/>
      <c r="T49" s="256"/>
      <c r="U49" s="256"/>
      <c r="V49" s="256"/>
      <c r="W49" s="256"/>
    </row>
    <row r="50" spans="1:23">
      <c r="A50" s="339" t="s">
        <v>222</v>
      </c>
      <c r="B50" s="276">
        <v>0</v>
      </c>
      <c r="C50" s="277" t="s">
        <v>163</v>
      </c>
      <c r="D50" s="407">
        <f t="shared" si="7"/>
        <v>0</v>
      </c>
      <c r="E50" s="407">
        <f t="shared" si="7"/>
        <v>0</v>
      </c>
      <c r="F50" s="407">
        <f t="shared" si="7"/>
        <v>0</v>
      </c>
      <c r="G50" s="407">
        <f t="shared" si="7"/>
        <v>0</v>
      </c>
      <c r="H50" s="407">
        <f t="shared" si="7"/>
        <v>0</v>
      </c>
      <c r="I50" s="194"/>
      <c r="J50" s="407">
        <f>AVERAGE(D77:INDEX(D77:H77,0,MATCH(Data!$B$3,$D$7:$H$7,0)))/AVERAGE($D$91:INDEX($D$91:$H$91,0,MATCH(Data!$B$3,$D$7:$H$7,0)))</f>
        <v>0</v>
      </c>
      <c r="K50" s="407">
        <f t="shared" si="8"/>
        <v>0</v>
      </c>
      <c r="L50" s="505"/>
      <c r="M50" s="505"/>
      <c r="N50" s="256"/>
      <c r="O50" s="256"/>
      <c r="P50" s="256"/>
      <c r="Q50" s="256"/>
      <c r="R50" s="256"/>
      <c r="S50" s="256"/>
      <c r="T50" s="256"/>
      <c r="U50" s="256"/>
      <c r="V50" s="256"/>
      <c r="W50" s="256"/>
    </row>
    <row r="51" spans="1:23">
      <c r="A51" s="339" t="s">
        <v>223</v>
      </c>
      <c r="B51" s="276">
        <v>0</v>
      </c>
      <c r="C51" s="277" t="s">
        <v>163</v>
      </c>
      <c r="D51" s="407">
        <f t="shared" si="7"/>
        <v>0</v>
      </c>
      <c r="E51" s="407">
        <f t="shared" si="7"/>
        <v>0</v>
      </c>
      <c r="F51" s="407">
        <f t="shared" si="7"/>
        <v>0</v>
      </c>
      <c r="G51" s="407">
        <f t="shared" si="7"/>
        <v>0</v>
      </c>
      <c r="H51" s="407">
        <f t="shared" si="7"/>
        <v>0</v>
      </c>
      <c r="I51" s="194"/>
      <c r="J51" s="407">
        <f>AVERAGE(D78:INDEX(D78:H78,0,MATCH(Data!$B$3,$D$7:$H$7,0)))/AVERAGE($D$91:INDEX($D$91:$H$91,0,MATCH(Data!$B$3,$D$7:$H$7,0)))</f>
        <v>0</v>
      </c>
      <c r="K51" s="407">
        <f t="shared" si="8"/>
        <v>0</v>
      </c>
      <c r="L51" s="505"/>
      <c r="M51" s="505"/>
      <c r="N51" s="256"/>
      <c r="O51" s="256"/>
      <c r="P51" s="256"/>
      <c r="Q51" s="256"/>
      <c r="R51" s="256"/>
      <c r="S51" s="256"/>
      <c r="T51" s="256"/>
      <c r="U51" s="256"/>
      <c r="V51" s="256"/>
      <c r="W51" s="256"/>
    </row>
    <row r="52" spans="1:23">
      <c r="A52" s="339" t="s">
        <v>224</v>
      </c>
      <c r="B52" s="276">
        <v>0</v>
      </c>
      <c r="C52" s="277" t="s">
        <v>163</v>
      </c>
      <c r="D52" s="407">
        <f t="shared" si="7"/>
        <v>0</v>
      </c>
      <c r="E52" s="407">
        <f t="shared" si="7"/>
        <v>0</v>
      </c>
      <c r="F52" s="407">
        <f t="shared" si="7"/>
        <v>0</v>
      </c>
      <c r="G52" s="407">
        <f t="shared" si="7"/>
        <v>0</v>
      </c>
      <c r="H52" s="407">
        <f t="shared" si="7"/>
        <v>0</v>
      </c>
      <c r="I52" s="194"/>
      <c r="J52" s="407">
        <f>AVERAGE(D79:INDEX(D79:H79,0,MATCH(Data!$B$3,$D$7:$H$7,0)))/AVERAGE($D$91:INDEX($D$91:$H$91,0,MATCH(Data!$B$3,$D$7:$H$7,0)))</f>
        <v>0</v>
      </c>
      <c r="K52" s="407">
        <f t="shared" si="8"/>
        <v>0</v>
      </c>
      <c r="L52" s="505"/>
      <c r="M52" s="505"/>
      <c r="N52" s="256"/>
      <c r="O52" s="256"/>
      <c r="P52" s="256"/>
      <c r="Q52" s="256"/>
      <c r="R52" s="256"/>
      <c r="S52" s="256"/>
      <c r="T52" s="256"/>
      <c r="U52" s="256"/>
      <c r="V52" s="256"/>
      <c r="W52" s="256"/>
    </row>
    <row r="53" spans="1:23">
      <c r="A53" s="339" t="s">
        <v>225</v>
      </c>
      <c r="B53" s="276">
        <v>0</v>
      </c>
      <c r="C53" s="277" t="s">
        <v>163</v>
      </c>
      <c r="D53" s="407">
        <f t="shared" si="7"/>
        <v>0</v>
      </c>
      <c r="E53" s="407">
        <f t="shared" si="7"/>
        <v>0</v>
      </c>
      <c r="F53" s="407">
        <f t="shared" si="7"/>
        <v>0</v>
      </c>
      <c r="G53" s="407">
        <f t="shared" si="7"/>
        <v>0</v>
      </c>
      <c r="H53" s="407">
        <f t="shared" si="7"/>
        <v>0</v>
      </c>
      <c r="I53" s="194"/>
      <c r="J53" s="407">
        <f>AVERAGE(D80:INDEX(D80:H80,0,MATCH(Data!$B$3,$D$7:$H$7,0)))/AVERAGE($D$91:INDEX($D$91:$H$91,0,MATCH(Data!$B$3,$D$7:$H$7,0)))</f>
        <v>0</v>
      </c>
      <c r="K53" s="407">
        <f t="shared" si="8"/>
        <v>0</v>
      </c>
      <c r="L53" s="505"/>
      <c r="M53" s="505"/>
      <c r="N53" s="256"/>
      <c r="O53" s="256"/>
      <c r="P53" s="256"/>
      <c r="Q53" s="256"/>
      <c r="R53" s="256"/>
      <c r="S53" s="256"/>
      <c r="T53" s="256"/>
      <c r="U53" s="256"/>
      <c r="V53" s="256"/>
      <c r="W53" s="256"/>
    </row>
    <row r="54" spans="1:23">
      <c r="A54" s="339" t="s">
        <v>226</v>
      </c>
      <c r="B54" s="276">
        <v>0</v>
      </c>
      <c r="C54" s="277" t="s">
        <v>163</v>
      </c>
      <c r="D54" s="407">
        <f t="shared" ref="D54:H55" si="9">D81/D$91</f>
        <v>0</v>
      </c>
      <c r="E54" s="407">
        <f t="shared" si="9"/>
        <v>0</v>
      </c>
      <c r="F54" s="407">
        <f t="shared" si="9"/>
        <v>0</v>
      </c>
      <c r="G54" s="407">
        <f t="shared" si="9"/>
        <v>0</v>
      </c>
      <c r="H54" s="407">
        <f t="shared" si="9"/>
        <v>0</v>
      </c>
      <c r="I54" s="194"/>
      <c r="J54" s="407">
        <f>AVERAGE(D81:INDEX(D81:H81,0,MATCH(Data!$B$3,$D$7:$H$7,0)))/AVERAGE($D$91:INDEX($D$91:$H$91,0,MATCH(Data!$B$3,$D$7:$H$7,0)))</f>
        <v>0</v>
      </c>
      <c r="K54" s="407">
        <f t="shared" si="8"/>
        <v>0</v>
      </c>
      <c r="L54" s="505"/>
      <c r="M54" s="505"/>
      <c r="N54" s="256"/>
      <c r="O54" s="256"/>
      <c r="P54" s="256"/>
      <c r="Q54" s="256"/>
      <c r="R54" s="256"/>
      <c r="S54" s="256"/>
      <c r="T54" s="256"/>
      <c r="U54" s="256"/>
      <c r="V54" s="256"/>
      <c r="W54" s="256"/>
    </row>
    <row r="55" spans="1:23">
      <c r="A55" s="338"/>
      <c r="B55" s="276" t="s">
        <v>121</v>
      </c>
      <c r="C55" s="277" t="s">
        <v>163</v>
      </c>
      <c r="D55" s="407">
        <f t="shared" si="9"/>
        <v>-8.0299598068449621E-4</v>
      </c>
      <c r="E55" s="407">
        <f t="shared" si="9"/>
        <v>0</v>
      </c>
      <c r="F55" s="407">
        <f t="shared" si="9"/>
        <v>0</v>
      </c>
      <c r="G55" s="407">
        <f t="shared" si="9"/>
        <v>0</v>
      </c>
      <c r="H55" s="407">
        <f t="shared" si="9"/>
        <v>0</v>
      </c>
      <c r="I55" s="194"/>
      <c r="J55" s="407">
        <f>AVERAGE(D82:INDEX(D82:H82,0,MATCH(Data!$B$3,$D$7:$H$7,0)))/AVERAGE($D$91:INDEX($D$91:$H$91,0,MATCH(Data!$B$3,$D$7:$H$7,0)))</f>
        <v>-8.0299598068449621E-4</v>
      </c>
      <c r="K55" s="407">
        <f t="shared" si="8"/>
        <v>-1.5889553573384093E-4</v>
      </c>
      <c r="L55" s="505"/>
      <c r="M55" s="505"/>
      <c r="N55" s="256"/>
      <c r="O55" s="256"/>
      <c r="P55" s="256"/>
      <c r="Q55" s="256"/>
      <c r="R55" s="256"/>
      <c r="S55" s="256"/>
      <c r="T55" s="256"/>
      <c r="U55" s="256"/>
      <c r="V55" s="256"/>
      <c r="W55" s="256"/>
    </row>
    <row r="56" spans="1:23">
      <c r="A56" s="338"/>
      <c r="B56" s="279" t="s">
        <v>122</v>
      </c>
      <c r="C56" s="281" t="s">
        <v>163</v>
      </c>
      <c r="D56" s="152">
        <f>SUM(D38:D55)</f>
        <v>5.8071458333384618E-2</v>
      </c>
      <c r="E56" s="152">
        <f t="shared" ref="E56:K56" si="10">SUM(E38:E55)</f>
        <v>7.7614014567427864E-2</v>
      </c>
      <c r="F56" s="152">
        <f t="shared" si="10"/>
        <v>4.0041534664198929E-2</v>
      </c>
      <c r="G56" s="152">
        <f t="shared" si="10"/>
        <v>2.9490118229970014E-2</v>
      </c>
      <c r="H56" s="152">
        <f t="shared" si="10"/>
        <v>8.1598703537739292E-2</v>
      </c>
      <c r="I56" s="287"/>
      <c r="J56" s="152">
        <f t="shared" si="10"/>
        <v>5.8071458333384618E-2</v>
      </c>
      <c r="K56" s="152">
        <f t="shared" si="10"/>
        <v>5.7298018120177895E-2</v>
      </c>
      <c r="L56" s="505"/>
      <c r="M56" s="505"/>
      <c r="N56" s="256"/>
      <c r="O56" s="256"/>
      <c r="P56" s="256"/>
      <c r="Q56" s="256"/>
      <c r="R56" s="256"/>
      <c r="S56" s="256"/>
      <c r="T56" s="256"/>
      <c r="U56" s="256"/>
      <c r="V56" s="256"/>
      <c r="W56" s="256"/>
    </row>
    <row r="57" spans="1:23">
      <c r="A57" s="338"/>
      <c r="B57" s="276" t="s">
        <v>173</v>
      </c>
      <c r="C57" s="277" t="s">
        <v>163</v>
      </c>
      <c r="D57" s="407">
        <f>(D84+D85)/D$91</f>
        <v>7.7550801311346937E-2</v>
      </c>
      <c r="E57" s="407">
        <f t="shared" ref="E57:H57" si="11">(E84+E85)/E$91</f>
        <v>5.1158363579638854E-3</v>
      </c>
      <c r="F57" s="407">
        <f t="shared" si="11"/>
        <v>5.2008002639916933E-3</v>
      </c>
      <c r="G57" s="407">
        <f t="shared" si="11"/>
        <v>-7.4356895286828472E-3</v>
      </c>
      <c r="H57" s="407">
        <f t="shared" si="11"/>
        <v>6.7800675692101997E-3</v>
      </c>
      <c r="I57" s="194"/>
      <c r="J57" s="407">
        <f>(AVERAGE(D84:INDEX(D84:H84,0,MATCH(Data!$B$3,$D$7:$H$7,0)))+AVERAGE(D85:INDEX(D85:H85,0,MATCH(Data!$B$3,$D$7:$H$7,0))))/AVERAGE($D$91:INDEX($D$91:$H$91,0,MATCH(Data!$B$3,$D$7:$H$7,0)))</f>
        <v>7.7550801311346937E-2</v>
      </c>
      <c r="K57" s="407">
        <f>(AVERAGE(D84:H84)+AVERAGE(D85:H85))/AVERAGE($D$91:$H$91)</f>
        <v>1.7196271436584143E-2</v>
      </c>
      <c r="L57" s="505"/>
      <c r="M57" s="505"/>
      <c r="N57" s="256"/>
      <c r="O57" s="256"/>
      <c r="P57" s="256"/>
      <c r="Q57" s="256"/>
      <c r="R57" s="256"/>
      <c r="S57" s="256"/>
      <c r="T57" s="256"/>
      <c r="U57" s="256"/>
      <c r="V57" s="256"/>
      <c r="W57" s="256"/>
    </row>
    <row r="58" spans="1:23">
      <c r="A58" s="338"/>
      <c r="B58" s="276" t="s">
        <v>174</v>
      </c>
      <c r="C58" s="277" t="s">
        <v>163</v>
      </c>
      <c r="D58" s="407">
        <f>(D86+D87)/D$91</f>
        <v>-4.8555157756011261E-4</v>
      </c>
      <c r="E58" s="407">
        <f t="shared" ref="E58:H58" si="12">(E86+E87)/E$91</f>
        <v>1.601527664724987E-3</v>
      </c>
      <c r="F58" s="407">
        <f t="shared" si="12"/>
        <v>1.3189535812160673E-3</v>
      </c>
      <c r="G58" s="407">
        <f t="shared" si="12"/>
        <v>8.0373377507437528E-4</v>
      </c>
      <c r="H58" s="407">
        <f t="shared" si="12"/>
        <v>1.0820487032980925E-3</v>
      </c>
      <c r="I58" s="194"/>
      <c r="J58" s="407">
        <f>(AVERAGE(D86:INDEX(D86:H86,0,MATCH(Data!$B$3,$D$7:$H$7,0)))+AVERAGE(D87:INDEX(D87:H87,0,MATCH(Data!$B$3,$D$7:$H$7,0))))/AVERAGE($D$91:INDEX($D$91:$H$91,0,MATCH(Data!$B$3,$D$7:$H$7,0)))</f>
        <v>-4.8555157756011261E-4</v>
      </c>
      <c r="K58" s="407">
        <f>(AVERAGE(D86:H86)+AVERAGE(D87:H87))/AVERAGE($D$91:$H$91)</f>
        <v>8.5062979157435813E-4</v>
      </c>
      <c r="L58" s="505"/>
      <c r="M58" s="505"/>
      <c r="N58" s="256"/>
      <c r="O58" s="256"/>
      <c r="P58" s="256"/>
      <c r="Q58" s="256"/>
      <c r="R58" s="256"/>
      <c r="S58" s="256"/>
      <c r="T58" s="256"/>
      <c r="U58" s="256"/>
      <c r="V58" s="256"/>
      <c r="W58" s="256"/>
    </row>
    <row r="59" spans="1:23">
      <c r="A59" s="338"/>
      <c r="B59" s="279" t="s">
        <v>125</v>
      </c>
      <c r="C59" s="281" t="s">
        <v>163</v>
      </c>
      <c r="D59" s="152">
        <f>SUM(D56:D58)</f>
        <v>0.13513670806717146</v>
      </c>
      <c r="E59" s="152">
        <f t="shared" ref="E59:K59" si="13">SUM(E56:E58)</f>
        <v>8.4331378590116732E-2</v>
      </c>
      <c r="F59" s="152">
        <f t="shared" si="13"/>
        <v>4.656128850940669E-2</v>
      </c>
      <c r="G59" s="152">
        <f t="shared" si="13"/>
        <v>2.2858162476361542E-2</v>
      </c>
      <c r="H59" s="152">
        <f t="shared" si="13"/>
        <v>8.9460819810247574E-2</v>
      </c>
      <c r="I59" s="287"/>
      <c r="J59" s="152">
        <f t="shared" si="13"/>
        <v>0.13513670806717146</v>
      </c>
      <c r="K59" s="152">
        <f t="shared" si="13"/>
        <v>7.5344919348336398E-2</v>
      </c>
      <c r="L59" s="505"/>
      <c r="M59" s="505"/>
      <c r="N59" s="256"/>
      <c r="O59" s="256"/>
      <c r="P59" s="256"/>
      <c r="Q59" s="256"/>
      <c r="R59" s="256"/>
      <c r="S59" s="256"/>
      <c r="T59" s="256"/>
      <c r="U59" s="256"/>
      <c r="V59" s="256"/>
      <c r="W59" s="256"/>
    </row>
    <row r="60" spans="1:23">
      <c r="A60" s="338"/>
      <c r="B60" s="288"/>
      <c r="C60" s="281"/>
      <c r="D60" s="289"/>
      <c r="E60" s="289"/>
      <c r="F60" s="289"/>
      <c r="G60" s="289"/>
      <c r="H60" s="289"/>
      <c r="I60" s="280"/>
      <c r="J60" s="280"/>
      <c r="K60" s="289"/>
      <c r="L60" s="505"/>
      <c r="M60" s="505"/>
      <c r="N60" s="256"/>
      <c r="O60" s="256"/>
      <c r="P60" s="256"/>
      <c r="Q60" s="256"/>
      <c r="R60" s="256"/>
      <c r="S60" s="256"/>
      <c r="T60" s="256"/>
      <c r="U60" s="256"/>
      <c r="V60" s="256"/>
      <c r="W60" s="256"/>
    </row>
    <row r="61" spans="1:23">
      <c r="A61" s="338"/>
      <c r="B61" s="288"/>
      <c r="C61" s="281"/>
      <c r="D61" s="289"/>
      <c r="E61" s="289"/>
      <c r="F61" s="289"/>
      <c r="G61" s="289"/>
      <c r="H61" s="289"/>
      <c r="I61" s="511"/>
      <c r="J61" s="511"/>
      <c r="K61" s="289"/>
      <c r="L61" s="505"/>
      <c r="M61" s="505"/>
      <c r="N61" s="256"/>
      <c r="O61" s="256"/>
      <c r="P61" s="256"/>
      <c r="Q61" s="256"/>
      <c r="R61" s="256"/>
      <c r="S61" s="256"/>
      <c r="T61" s="256"/>
      <c r="U61" s="256"/>
      <c r="V61" s="256"/>
      <c r="W61" s="256"/>
    </row>
    <row r="62" spans="1:23">
      <c r="A62" s="338"/>
      <c r="B62" s="290" t="s">
        <v>175</v>
      </c>
      <c r="C62" s="291"/>
      <c r="D62" s="292"/>
      <c r="E62" s="292"/>
      <c r="F62" s="292"/>
      <c r="G62" s="292"/>
      <c r="H62" s="292"/>
      <c r="I62" s="512"/>
      <c r="J62" s="512"/>
      <c r="K62" s="292"/>
      <c r="L62" s="513"/>
      <c r="M62" s="513"/>
      <c r="N62" s="256"/>
      <c r="O62" s="256"/>
      <c r="P62" s="256"/>
      <c r="Q62" s="256"/>
      <c r="R62" s="256"/>
      <c r="S62" s="256"/>
      <c r="T62" s="256"/>
      <c r="U62" s="256"/>
      <c r="V62" s="256"/>
      <c r="W62" s="256"/>
    </row>
    <row r="63" spans="1:23">
      <c r="A63" s="338"/>
      <c r="B63" s="293" t="s">
        <v>227</v>
      </c>
      <c r="C63" s="294"/>
      <c r="D63" s="294"/>
      <c r="E63" s="294"/>
      <c r="F63" s="294"/>
      <c r="G63" s="294"/>
      <c r="H63" s="294"/>
      <c r="I63" s="510"/>
      <c r="J63" s="510"/>
      <c r="K63" s="294"/>
      <c r="L63" s="510"/>
      <c r="M63" s="510"/>
      <c r="N63" s="256"/>
      <c r="O63" s="256"/>
      <c r="P63" s="256"/>
      <c r="Q63" s="256"/>
      <c r="R63" s="256"/>
      <c r="S63" s="256"/>
      <c r="T63" s="256"/>
      <c r="U63" s="256"/>
      <c r="V63" s="256"/>
      <c r="W63" s="256"/>
    </row>
    <row r="64" spans="1:23">
      <c r="A64" s="338"/>
      <c r="B64" s="265"/>
      <c r="C64" s="256"/>
      <c r="D64" s="256"/>
      <c r="E64" s="256"/>
      <c r="F64" s="256"/>
      <c r="G64" s="256"/>
      <c r="H64" s="256"/>
      <c r="I64" s="505"/>
      <c r="J64" s="505"/>
      <c r="K64" s="256"/>
      <c r="L64" s="505"/>
      <c r="M64" s="505"/>
      <c r="N64" s="256"/>
      <c r="O64" s="256"/>
      <c r="P64" s="256"/>
      <c r="Q64" s="256"/>
      <c r="R64" s="256"/>
      <c r="S64" s="256"/>
      <c r="T64" s="256"/>
      <c r="U64" s="256"/>
      <c r="V64" s="256"/>
      <c r="W64" s="256"/>
    </row>
    <row r="65" spans="1:23">
      <c r="B65" s="295" t="s">
        <v>177</v>
      </c>
      <c r="C65" s="104" t="s">
        <v>228</v>
      </c>
      <c r="D65" s="326">
        <v>83.561168129319995</v>
      </c>
      <c r="E65" s="326">
        <v>92.740249269007109</v>
      </c>
      <c r="F65" s="326">
        <v>99.525111017567525</v>
      </c>
      <c r="G65" s="326">
        <v>109.16509097554965</v>
      </c>
      <c r="H65" s="326">
        <v>116.1517757870287</v>
      </c>
      <c r="I65" s="265"/>
      <c r="J65" s="326">
        <v>83.561168129319995</v>
      </c>
      <c r="K65" s="326">
        <v>501.14339517847299</v>
      </c>
      <c r="L65" s="508"/>
      <c r="M65" s="507"/>
      <c r="N65" s="256"/>
      <c r="O65" s="256"/>
      <c r="P65" s="256"/>
      <c r="Q65" s="256"/>
      <c r="R65" s="256"/>
      <c r="S65" s="256"/>
      <c r="T65" s="256"/>
      <c r="U65" s="256"/>
      <c r="V65" s="256"/>
      <c r="W65" s="256"/>
    </row>
    <row r="66" spans="1:23">
      <c r="B66" s="295" t="s">
        <v>108</v>
      </c>
      <c r="C66" s="104" t="s">
        <v>228</v>
      </c>
      <c r="D66" s="326">
        <v>33.934617884512505</v>
      </c>
      <c r="E66" s="326">
        <v>31.832146912396126</v>
      </c>
      <c r="F66" s="326">
        <v>-32.425011529735336</v>
      </c>
      <c r="G66" s="326">
        <v>-58.915881793297046</v>
      </c>
      <c r="H66" s="326">
        <v>41.321787638759268</v>
      </c>
      <c r="I66" s="265"/>
      <c r="J66" s="326">
        <v>33.934617884512505</v>
      </c>
      <c r="K66" s="326">
        <v>15.747659112635517</v>
      </c>
      <c r="L66" s="508"/>
      <c r="M66" s="507"/>
      <c r="N66" s="256"/>
      <c r="O66" s="256"/>
      <c r="P66" s="256"/>
      <c r="Q66" s="256"/>
      <c r="R66" s="256"/>
      <c r="S66" s="256"/>
      <c r="T66" s="256"/>
      <c r="U66" s="256"/>
      <c r="V66" s="256"/>
      <c r="W66" s="256"/>
    </row>
    <row r="67" spans="1:23">
      <c r="A67" s="111" t="s">
        <v>212</v>
      </c>
      <c r="B67" s="295" t="s">
        <v>109</v>
      </c>
      <c r="C67" s="104" t="s">
        <v>228</v>
      </c>
      <c r="D67" s="326">
        <v>3.54</v>
      </c>
      <c r="E67" s="326">
        <v>0</v>
      </c>
      <c r="F67" s="326">
        <v>0</v>
      </c>
      <c r="G67" s="326">
        <v>0</v>
      </c>
      <c r="H67" s="326">
        <v>0</v>
      </c>
      <c r="I67" s="265"/>
      <c r="J67" s="326">
        <v>3.54</v>
      </c>
      <c r="K67" s="326">
        <v>3.54</v>
      </c>
      <c r="L67" s="508"/>
      <c r="M67" s="507"/>
      <c r="N67" s="256"/>
      <c r="O67" s="256"/>
      <c r="P67" s="256"/>
      <c r="Q67" s="256"/>
      <c r="R67" s="256"/>
      <c r="S67" s="256"/>
      <c r="T67" s="256"/>
      <c r="U67" s="256"/>
      <c r="V67" s="256"/>
      <c r="W67" s="256"/>
    </row>
    <row r="68" spans="1:23">
      <c r="A68" s="340" t="s">
        <v>213</v>
      </c>
      <c r="B68" s="295" t="s">
        <v>110</v>
      </c>
      <c r="C68" s="298" t="s">
        <v>228</v>
      </c>
      <c r="D68" s="326">
        <v>0.93203129888565051</v>
      </c>
      <c r="E68" s="326">
        <v>0.75465709999999975</v>
      </c>
      <c r="F68" s="326">
        <v>0.84441209999999978</v>
      </c>
      <c r="G68" s="326">
        <v>0.84441209999999978</v>
      </c>
      <c r="H68" s="326">
        <v>0.90210029999999963</v>
      </c>
      <c r="I68" s="327"/>
      <c r="J68" s="326">
        <v>0.93203129888565051</v>
      </c>
      <c r="K68" s="326">
        <v>4.2776128988856499</v>
      </c>
      <c r="L68" s="508"/>
      <c r="M68" s="507"/>
      <c r="N68" s="256"/>
      <c r="O68" s="256"/>
      <c r="P68" s="256"/>
      <c r="Q68" s="256"/>
      <c r="R68" s="256"/>
      <c r="S68" s="256"/>
      <c r="T68" s="256"/>
      <c r="U68" s="256"/>
      <c r="V68" s="256"/>
      <c r="W68" s="256"/>
    </row>
    <row r="69" spans="1:23">
      <c r="A69" s="340" t="s">
        <v>214</v>
      </c>
      <c r="B69" s="295" t="s">
        <v>111</v>
      </c>
      <c r="C69" s="298" t="s">
        <v>228</v>
      </c>
      <c r="D69" s="326">
        <v>-2.8712109999999966</v>
      </c>
      <c r="E69" s="326">
        <v>2.3121100000000006</v>
      </c>
      <c r="F69" s="326">
        <v>2.3121100000000006</v>
      </c>
      <c r="G69" s="326">
        <v>2.6636100000000056</v>
      </c>
      <c r="H69" s="326">
        <v>3.1557100000000049</v>
      </c>
      <c r="I69" s="327"/>
      <c r="J69" s="326">
        <v>-2.8712109999999966</v>
      </c>
      <c r="K69" s="326">
        <v>7.5723290000000141</v>
      </c>
      <c r="L69" s="508"/>
      <c r="M69" s="507"/>
      <c r="N69" s="256"/>
      <c r="O69" s="256"/>
      <c r="P69" s="256"/>
      <c r="Q69" s="256"/>
      <c r="R69" s="256"/>
      <c r="S69" s="256"/>
      <c r="T69" s="256"/>
      <c r="U69" s="256"/>
      <c r="V69" s="256"/>
      <c r="W69" s="256"/>
    </row>
    <row r="70" spans="1:23">
      <c r="A70" s="340" t="s">
        <v>215</v>
      </c>
      <c r="B70" s="295" t="s">
        <v>112</v>
      </c>
      <c r="C70" s="298" t="s">
        <v>228</v>
      </c>
      <c r="D70" s="326">
        <v>-10.931942607500897</v>
      </c>
      <c r="E70" s="326">
        <v>-2.7590582987666687</v>
      </c>
      <c r="F70" s="326">
        <v>-0.15415410143333186</v>
      </c>
      <c r="G70" s="326">
        <v>1.8638557809000016</v>
      </c>
      <c r="H70" s="326">
        <v>1.9144878668999987</v>
      </c>
      <c r="I70" s="327"/>
      <c r="J70" s="326">
        <v>-10.931942607500897</v>
      </c>
      <c r="K70" s="326">
        <v>-10.066811359900894</v>
      </c>
      <c r="L70" s="508"/>
      <c r="M70" s="507"/>
      <c r="N70" s="256"/>
      <c r="O70" s="256"/>
      <c r="P70" s="256"/>
      <c r="Q70" s="256"/>
      <c r="R70" s="256"/>
      <c r="S70" s="256"/>
      <c r="T70" s="256"/>
      <c r="U70" s="256"/>
      <c r="V70" s="256"/>
      <c r="W70" s="256"/>
    </row>
    <row r="71" spans="1:23">
      <c r="A71" s="340" t="s">
        <v>216</v>
      </c>
      <c r="B71" s="295" t="s">
        <v>113</v>
      </c>
      <c r="C71" s="298" t="s">
        <v>228</v>
      </c>
      <c r="D71" s="326">
        <v>-0.73656000000000132</v>
      </c>
      <c r="E71" s="326">
        <v>0</v>
      </c>
      <c r="F71" s="326">
        <v>0</v>
      </c>
      <c r="G71" s="326">
        <v>0</v>
      </c>
      <c r="H71" s="326">
        <v>0</v>
      </c>
      <c r="I71" s="327"/>
      <c r="J71" s="326">
        <v>-0.73656000000000132</v>
      </c>
      <c r="K71" s="326">
        <v>-0.73656000000000132</v>
      </c>
      <c r="L71" s="508"/>
      <c r="M71" s="507"/>
      <c r="N71" s="256"/>
      <c r="O71" s="256"/>
      <c r="P71" s="256"/>
      <c r="Q71" s="256"/>
      <c r="R71" s="256"/>
      <c r="S71" s="256"/>
      <c r="T71" s="256"/>
      <c r="U71" s="256"/>
      <c r="V71" s="256"/>
      <c r="W71" s="256"/>
    </row>
    <row r="72" spans="1:23">
      <c r="A72" s="340" t="s">
        <v>217</v>
      </c>
      <c r="B72" s="295" t="s">
        <v>114</v>
      </c>
      <c r="C72" s="298" t="s">
        <v>228</v>
      </c>
      <c r="D72" s="326">
        <v>0</v>
      </c>
      <c r="E72" s="326">
        <v>2.0030999999999981</v>
      </c>
      <c r="F72" s="326">
        <v>0</v>
      </c>
      <c r="G72" s="326">
        <v>0</v>
      </c>
      <c r="H72" s="326">
        <v>4.661156000000001</v>
      </c>
      <c r="I72" s="327"/>
      <c r="J72" s="326">
        <v>0</v>
      </c>
      <c r="K72" s="326">
        <v>6.664256</v>
      </c>
      <c r="L72" s="508"/>
      <c r="M72" s="507"/>
      <c r="N72" s="256"/>
      <c r="O72" s="256"/>
      <c r="P72" s="256"/>
      <c r="Q72" s="256"/>
      <c r="R72" s="256"/>
      <c r="S72" s="256"/>
      <c r="T72" s="256"/>
      <c r="U72" s="256"/>
      <c r="V72" s="256"/>
      <c r="W72" s="256"/>
    </row>
    <row r="73" spans="1:23">
      <c r="A73" s="111" t="s">
        <v>218</v>
      </c>
      <c r="B73" s="295" t="s">
        <v>115</v>
      </c>
      <c r="C73" s="104" t="s">
        <v>228</v>
      </c>
      <c r="D73" s="326">
        <v>2.17</v>
      </c>
      <c r="E73" s="326">
        <v>2.1365699999999976</v>
      </c>
      <c r="F73" s="326">
        <v>2.3605200000000002</v>
      </c>
      <c r="G73" s="326">
        <v>2.5987799999999988</v>
      </c>
      <c r="H73" s="326">
        <v>2.6534299999999975</v>
      </c>
      <c r="I73" s="327"/>
      <c r="J73" s="326">
        <v>2.17</v>
      </c>
      <c r="K73" s="326">
        <v>11.919299999999994</v>
      </c>
      <c r="L73" s="508"/>
      <c r="M73" s="507"/>
      <c r="N73" s="256"/>
      <c r="O73" s="256"/>
      <c r="P73" s="256"/>
      <c r="Q73" s="256"/>
      <c r="R73" s="256"/>
      <c r="S73" s="256"/>
      <c r="T73" s="256"/>
      <c r="U73" s="256"/>
      <c r="V73" s="256"/>
      <c r="W73" s="256"/>
    </row>
    <row r="74" spans="1:23">
      <c r="A74" s="111" t="s">
        <v>219</v>
      </c>
      <c r="B74" s="295" t="s">
        <v>118</v>
      </c>
      <c r="C74" s="104" t="s">
        <v>228</v>
      </c>
      <c r="D74" s="326">
        <v>-0.12308225331145789</v>
      </c>
      <c r="E74" s="326">
        <v>-0.25200000000000006</v>
      </c>
      <c r="F74" s="326">
        <v>-0.30600000000000005</v>
      </c>
      <c r="G74" s="326">
        <v>0</v>
      </c>
      <c r="H74" s="326">
        <v>0</v>
      </c>
      <c r="I74" s="265"/>
      <c r="J74" s="326">
        <v>-0.12308225331145789</v>
      </c>
      <c r="K74" s="326">
        <v>-0.681082253311458</v>
      </c>
      <c r="L74" s="508"/>
      <c r="M74" s="507"/>
      <c r="N74" s="256"/>
      <c r="O74" s="256"/>
      <c r="P74" s="256"/>
      <c r="Q74" s="256"/>
      <c r="R74" s="256"/>
      <c r="S74" s="256"/>
      <c r="T74" s="256"/>
      <c r="U74" s="256"/>
      <c r="V74" s="256"/>
      <c r="W74" s="256"/>
    </row>
    <row r="75" spans="1:23">
      <c r="A75" s="111" t="s">
        <v>220</v>
      </c>
      <c r="B75" s="295" t="s">
        <v>119</v>
      </c>
      <c r="C75" s="104" t="s">
        <v>228</v>
      </c>
      <c r="D75" s="326">
        <v>-5.2811233777643997E-2</v>
      </c>
      <c r="E75" s="326">
        <v>0</v>
      </c>
      <c r="F75" s="326">
        <v>0</v>
      </c>
      <c r="G75" s="326">
        <v>0</v>
      </c>
      <c r="H75" s="326">
        <v>0</v>
      </c>
      <c r="I75" s="265"/>
      <c r="J75" s="326">
        <v>-5.2811233777643997E-2</v>
      </c>
      <c r="K75" s="326">
        <v>-5.2811233777643997E-2</v>
      </c>
      <c r="L75" s="508"/>
      <c r="M75" s="507"/>
      <c r="N75" s="256"/>
      <c r="O75" s="256"/>
      <c r="P75" s="256"/>
      <c r="Q75" s="256"/>
      <c r="R75" s="256"/>
      <c r="S75" s="256"/>
      <c r="T75" s="256"/>
      <c r="U75" s="256"/>
      <c r="V75" s="256"/>
      <c r="W75" s="256"/>
    </row>
    <row r="76" spans="1:23">
      <c r="A76" s="111" t="s">
        <v>221</v>
      </c>
      <c r="B76" s="295" t="s">
        <v>120</v>
      </c>
      <c r="C76" s="104" t="s">
        <v>228</v>
      </c>
      <c r="D76" s="326">
        <v>-8.5354035000000023E-2</v>
      </c>
      <c r="E76" s="326">
        <v>0</v>
      </c>
      <c r="F76" s="326">
        <v>0</v>
      </c>
      <c r="G76" s="326">
        <v>0</v>
      </c>
      <c r="H76" s="326">
        <v>0</v>
      </c>
      <c r="I76" s="265"/>
      <c r="J76" s="326">
        <v>-8.5354035000000023E-2</v>
      </c>
      <c r="K76" s="326">
        <v>-8.5354035000000023E-2</v>
      </c>
      <c r="L76" s="508"/>
      <c r="M76" s="507"/>
      <c r="N76" s="256"/>
      <c r="O76" s="256"/>
      <c r="P76" s="256"/>
      <c r="Q76" s="256"/>
      <c r="R76" s="256"/>
      <c r="S76" s="256"/>
      <c r="T76" s="256"/>
      <c r="U76" s="256"/>
      <c r="V76" s="256"/>
      <c r="W76" s="256"/>
    </row>
    <row r="77" spans="1:23">
      <c r="A77" s="111" t="s">
        <v>222</v>
      </c>
      <c r="B77" s="295"/>
      <c r="C77" s="104" t="s">
        <v>228</v>
      </c>
      <c r="D77" s="326">
        <v>0</v>
      </c>
      <c r="E77" s="326">
        <v>0</v>
      </c>
      <c r="F77" s="326">
        <v>0</v>
      </c>
      <c r="G77" s="326">
        <v>0</v>
      </c>
      <c r="H77" s="326">
        <v>0</v>
      </c>
      <c r="I77" s="265"/>
      <c r="J77" s="326">
        <v>0</v>
      </c>
      <c r="K77" s="326">
        <v>0</v>
      </c>
      <c r="L77" s="508"/>
      <c r="M77" s="507"/>
      <c r="N77" s="256"/>
      <c r="O77" s="256"/>
      <c r="P77" s="256"/>
      <c r="Q77" s="256"/>
      <c r="R77" s="256"/>
      <c r="S77" s="256"/>
      <c r="T77" s="256"/>
      <c r="U77" s="256"/>
      <c r="V77" s="256"/>
      <c r="W77" s="256"/>
    </row>
    <row r="78" spans="1:23">
      <c r="A78" s="111" t="s">
        <v>223</v>
      </c>
      <c r="B78" s="295"/>
      <c r="C78" s="104" t="s">
        <v>228</v>
      </c>
      <c r="D78" s="326">
        <v>0</v>
      </c>
      <c r="E78" s="326">
        <v>0</v>
      </c>
      <c r="F78" s="326">
        <v>0</v>
      </c>
      <c r="G78" s="326">
        <v>0</v>
      </c>
      <c r="H78" s="326">
        <v>0</v>
      </c>
      <c r="I78" s="265"/>
      <c r="J78" s="326">
        <v>0</v>
      </c>
      <c r="K78" s="326">
        <v>0</v>
      </c>
      <c r="L78" s="508"/>
      <c r="M78" s="507"/>
      <c r="N78" s="256"/>
      <c r="O78" s="256"/>
      <c r="P78" s="256"/>
      <c r="Q78" s="256"/>
      <c r="R78" s="256"/>
      <c r="S78" s="256"/>
      <c r="T78" s="256"/>
      <c r="U78" s="256"/>
      <c r="V78" s="256"/>
      <c r="W78" s="256"/>
    </row>
    <row r="79" spans="1:23">
      <c r="A79" s="111" t="s">
        <v>224</v>
      </c>
      <c r="B79" s="295"/>
      <c r="C79" s="104" t="s">
        <v>228</v>
      </c>
      <c r="D79" s="326">
        <v>0</v>
      </c>
      <c r="E79" s="326">
        <v>0</v>
      </c>
      <c r="F79" s="326">
        <v>0</v>
      </c>
      <c r="G79" s="326">
        <v>0</v>
      </c>
      <c r="H79" s="326">
        <v>0</v>
      </c>
      <c r="I79" s="265"/>
      <c r="J79" s="326">
        <v>0</v>
      </c>
      <c r="K79" s="326">
        <v>0</v>
      </c>
      <c r="L79" s="508"/>
      <c r="M79" s="507"/>
      <c r="N79" s="256"/>
      <c r="O79" s="256"/>
      <c r="P79" s="256"/>
      <c r="Q79" s="256"/>
      <c r="R79" s="256"/>
      <c r="S79" s="256"/>
      <c r="T79" s="256"/>
      <c r="U79" s="256"/>
      <c r="V79" s="256"/>
      <c r="W79" s="256"/>
    </row>
    <row r="80" spans="1:23">
      <c r="A80" s="111" t="s">
        <v>225</v>
      </c>
      <c r="B80" s="295"/>
      <c r="C80" s="104" t="s">
        <v>228</v>
      </c>
      <c r="D80" s="326">
        <v>0</v>
      </c>
      <c r="E80" s="326">
        <v>0</v>
      </c>
      <c r="F80" s="326">
        <v>0</v>
      </c>
      <c r="G80" s="326">
        <v>0</v>
      </c>
      <c r="H80" s="326">
        <v>0</v>
      </c>
      <c r="I80" s="265"/>
      <c r="J80" s="326">
        <v>0</v>
      </c>
      <c r="K80" s="326">
        <v>0</v>
      </c>
      <c r="L80" s="508"/>
      <c r="M80" s="507"/>
      <c r="N80" s="256"/>
      <c r="O80" s="256"/>
      <c r="P80" s="256"/>
      <c r="Q80" s="256"/>
      <c r="R80" s="256"/>
      <c r="S80" s="256"/>
      <c r="T80" s="256"/>
      <c r="U80" s="256"/>
      <c r="V80" s="256"/>
      <c r="W80" s="256"/>
    </row>
    <row r="81" spans="1:23">
      <c r="A81" s="111" t="s">
        <v>226</v>
      </c>
      <c r="B81" s="295"/>
      <c r="C81" s="104" t="s">
        <v>228</v>
      </c>
      <c r="D81" s="326">
        <v>0</v>
      </c>
      <c r="E81" s="326">
        <v>0</v>
      </c>
      <c r="F81" s="326">
        <v>0</v>
      </c>
      <c r="G81" s="326">
        <v>0</v>
      </c>
      <c r="H81" s="326">
        <v>0</v>
      </c>
      <c r="I81" s="265"/>
      <c r="J81" s="326">
        <v>0</v>
      </c>
      <c r="K81" s="326">
        <v>0</v>
      </c>
      <c r="L81" s="508"/>
      <c r="M81" s="507"/>
      <c r="N81" s="256"/>
      <c r="O81" s="256"/>
      <c r="P81" s="256"/>
      <c r="Q81" s="256"/>
      <c r="R81" s="256"/>
      <c r="S81" s="256"/>
      <c r="T81" s="256"/>
      <c r="U81" s="256"/>
      <c r="V81" s="256"/>
      <c r="W81" s="256"/>
    </row>
    <row r="82" spans="1:23">
      <c r="B82" s="295" t="s">
        <v>121</v>
      </c>
      <c r="C82" s="104" t="s">
        <v>228</v>
      </c>
      <c r="D82" s="326">
        <v>-1.4912589352823948</v>
      </c>
      <c r="E82" s="326">
        <v>0</v>
      </c>
      <c r="F82" s="326">
        <v>0</v>
      </c>
      <c r="G82" s="326">
        <v>0</v>
      </c>
      <c r="H82" s="326">
        <v>0</v>
      </c>
      <c r="I82" s="265"/>
      <c r="J82" s="326">
        <v>-1.4912589352823948</v>
      </c>
      <c r="K82" s="326">
        <v>-1.4912589352823948</v>
      </c>
      <c r="L82" s="508"/>
      <c r="M82" s="507"/>
      <c r="N82" s="256"/>
      <c r="O82" s="256"/>
      <c r="P82" s="256"/>
      <c r="Q82" s="256"/>
      <c r="R82" s="256"/>
      <c r="S82" s="256"/>
      <c r="T82" s="256"/>
      <c r="U82" s="256"/>
      <c r="V82" s="256"/>
      <c r="W82" s="256"/>
    </row>
    <row r="83" spans="1:23">
      <c r="A83" s="341"/>
      <c r="B83" s="300" t="s">
        <v>122</v>
      </c>
      <c r="C83" s="104" t="s">
        <v>228</v>
      </c>
      <c r="D83" s="328">
        <v>107.84559724784577</v>
      </c>
      <c r="E83" s="328">
        <v>128.76777498263655</v>
      </c>
      <c r="F83" s="328">
        <v>72.156987486398862</v>
      </c>
      <c r="G83" s="328">
        <v>58.219867063152606</v>
      </c>
      <c r="H83" s="328">
        <v>170.760447592688</v>
      </c>
      <c r="I83" s="329"/>
      <c r="J83" s="328">
        <v>107.84559724784577</v>
      </c>
      <c r="K83" s="328">
        <v>537.75067437272196</v>
      </c>
      <c r="L83" s="509"/>
      <c r="M83" s="507"/>
      <c r="N83" s="256"/>
      <c r="O83" s="256"/>
      <c r="P83" s="256"/>
      <c r="Q83" s="256"/>
      <c r="R83" s="256"/>
      <c r="S83" s="256"/>
      <c r="T83" s="256"/>
      <c r="U83" s="256"/>
      <c r="V83" s="256"/>
      <c r="W83" s="256"/>
    </row>
    <row r="84" spans="1:23">
      <c r="B84" s="295" t="s">
        <v>123</v>
      </c>
      <c r="C84" s="104" t="s">
        <v>228</v>
      </c>
      <c r="D84" s="326">
        <v>153.14268958579015</v>
      </c>
      <c r="E84" s="326">
        <v>8.5043388122343586</v>
      </c>
      <c r="F84" s="326">
        <v>9.4203149616285984</v>
      </c>
      <c r="G84" s="326">
        <v>-14.712940413112264</v>
      </c>
      <c r="H84" s="326">
        <v>14.207879883310085</v>
      </c>
      <c r="I84" s="265"/>
      <c r="J84" s="326">
        <v>153.14268958579015</v>
      </c>
      <c r="K84" s="326">
        <v>170.56228282985091</v>
      </c>
      <c r="L84" s="508"/>
      <c r="M84" s="507"/>
      <c r="N84" s="256"/>
      <c r="O84" s="256"/>
      <c r="P84" s="256"/>
      <c r="Q84" s="256"/>
      <c r="R84" s="256"/>
      <c r="S84" s="256"/>
      <c r="T84" s="256"/>
      <c r="U84" s="256"/>
      <c r="V84" s="256"/>
      <c r="W84" s="256"/>
    </row>
    <row r="85" spans="1:23">
      <c r="B85" s="295" t="s">
        <v>179</v>
      </c>
      <c r="C85" s="104" t="s">
        <v>228</v>
      </c>
      <c r="D85" s="326">
        <v>-9.1216382035977972</v>
      </c>
      <c r="E85" s="326">
        <v>-1.6762584387191026E-2</v>
      </c>
      <c r="F85" s="326">
        <v>-4.8194669155378733E-2</v>
      </c>
      <c r="G85" s="326">
        <v>3.3282213477050959E-2</v>
      </c>
      <c r="H85" s="326">
        <v>-1.9328807966889627E-2</v>
      </c>
      <c r="I85" s="265"/>
      <c r="J85" s="326">
        <v>-9.1216382035977972</v>
      </c>
      <c r="K85" s="326">
        <v>-9.1726420516302056</v>
      </c>
      <c r="L85" s="508"/>
      <c r="M85" s="507"/>
      <c r="N85" s="256"/>
      <c r="O85" s="256"/>
      <c r="P85" s="256"/>
      <c r="Q85" s="256"/>
      <c r="R85" s="256"/>
      <c r="S85" s="256"/>
      <c r="T85" s="256"/>
      <c r="U85" s="256"/>
      <c r="V85" s="256"/>
      <c r="W85" s="256"/>
    </row>
    <row r="86" spans="1:23">
      <c r="B86" s="295" t="s">
        <v>124</v>
      </c>
      <c r="C86" s="104" t="s">
        <v>228</v>
      </c>
      <c r="D86" s="326">
        <v>-3.1821365159083546</v>
      </c>
      <c r="E86" s="326">
        <v>2.6528701322838231</v>
      </c>
      <c r="F86" s="326">
        <v>2.3647762434716704</v>
      </c>
      <c r="G86" s="326">
        <v>1.5950647357456216</v>
      </c>
      <c r="H86" s="326">
        <v>2.2595557463635285</v>
      </c>
      <c r="I86" s="265"/>
      <c r="J86" s="326">
        <v>-3.1821365159083546</v>
      </c>
      <c r="K86" s="326">
        <v>5.690130341956289</v>
      </c>
      <c r="L86" s="508"/>
      <c r="M86" s="507"/>
      <c r="N86" s="256"/>
      <c r="O86" s="256"/>
      <c r="P86" s="256"/>
      <c r="Q86" s="256"/>
      <c r="R86" s="256"/>
      <c r="S86" s="256"/>
      <c r="T86" s="256"/>
      <c r="U86" s="256"/>
      <c r="V86" s="256"/>
      <c r="W86" s="256"/>
    </row>
    <row r="87" spans="1:23">
      <c r="B87" s="295" t="s">
        <v>180</v>
      </c>
      <c r="C87" s="104" t="s">
        <v>228</v>
      </c>
      <c r="D87" s="326">
        <v>2.2804095508994489</v>
      </c>
      <c r="E87" s="326">
        <v>4.190646096795092E-3</v>
      </c>
      <c r="F87" s="326">
        <v>1.204866728884646E-2</v>
      </c>
      <c r="G87" s="326">
        <v>-8.3205533692626895E-3</v>
      </c>
      <c r="H87" s="326">
        <v>4.8322019917226289E-3</v>
      </c>
      <c r="I87" s="265"/>
      <c r="J87" s="326">
        <v>2.2804095508994489</v>
      </c>
      <c r="K87" s="326">
        <v>2.2931605129075505</v>
      </c>
      <c r="L87" s="508"/>
      <c r="M87" s="507"/>
      <c r="N87" s="256"/>
      <c r="O87" s="256"/>
      <c r="P87" s="256"/>
      <c r="Q87" s="256"/>
      <c r="R87" s="256"/>
      <c r="S87" s="256"/>
      <c r="T87" s="256"/>
      <c r="U87" s="256"/>
      <c r="V87" s="256"/>
      <c r="W87" s="256"/>
    </row>
    <row r="88" spans="1:23">
      <c r="A88" s="341"/>
      <c r="B88" s="300" t="s">
        <v>125</v>
      </c>
      <c r="C88" s="104" t="s">
        <v>228</v>
      </c>
      <c r="D88" s="328">
        <v>250.96492166502924</v>
      </c>
      <c r="E88" s="328">
        <v>139.91241198886433</v>
      </c>
      <c r="F88" s="328">
        <v>83.905932689632607</v>
      </c>
      <c r="G88" s="328">
        <v>45.126953045893757</v>
      </c>
      <c r="H88" s="328">
        <v>187.21338661638646</v>
      </c>
      <c r="I88" s="329"/>
      <c r="J88" s="328">
        <v>250.96492166502924</v>
      </c>
      <c r="K88" s="328">
        <v>707.12360600580655</v>
      </c>
      <c r="L88" s="509"/>
      <c r="M88" s="507"/>
      <c r="N88" s="256"/>
      <c r="O88" s="256"/>
      <c r="P88" s="256"/>
      <c r="Q88" s="256"/>
      <c r="R88" s="256"/>
      <c r="S88" s="256"/>
      <c r="T88" s="256"/>
      <c r="U88" s="256"/>
      <c r="V88" s="256"/>
      <c r="W88" s="256"/>
    </row>
    <row r="89" spans="1:23">
      <c r="B89" s="295"/>
      <c r="D89" s="305"/>
      <c r="E89" s="256"/>
      <c r="F89" s="256"/>
      <c r="G89" s="256"/>
      <c r="H89" s="256"/>
      <c r="I89" s="265"/>
      <c r="J89" s="265"/>
      <c r="K89" s="256"/>
      <c r="L89" s="507"/>
      <c r="M89" s="507"/>
      <c r="N89" s="256"/>
      <c r="O89" s="256"/>
      <c r="P89" s="256"/>
      <c r="Q89" s="256"/>
      <c r="R89" s="256"/>
      <c r="S89" s="256"/>
      <c r="T89" s="256"/>
      <c r="U89" s="256"/>
      <c r="V89" s="256"/>
      <c r="W89" s="256"/>
    </row>
    <row r="90" spans="1:23">
      <c r="B90" s="295" t="s">
        <v>181</v>
      </c>
      <c r="C90" s="104" t="s">
        <v>228</v>
      </c>
      <c r="D90" s="326">
        <v>1581.581116286151</v>
      </c>
      <c r="E90" s="326">
        <v>1659.7671426515576</v>
      </c>
      <c r="F90" s="326">
        <v>1803.7941241046947</v>
      </c>
      <c r="G90" s="326">
        <v>1973.3292830189223</v>
      </c>
      <c r="H90" s="326">
        <v>2093.2308380221766</v>
      </c>
      <c r="I90" s="508"/>
      <c r="J90" s="507"/>
      <c r="K90" s="256"/>
      <c r="L90" s="507"/>
      <c r="M90" s="507"/>
      <c r="N90" s="256"/>
      <c r="O90" s="256"/>
      <c r="P90" s="256"/>
      <c r="Q90" s="256"/>
      <c r="R90" s="256"/>
      <c r="S90" s="256"/>
      <c r="T90" s="256"/>
      <c r="U90" s="256"/>
      <c r="V90" s="256"/>
      <c r="W90" s="256"/>
    </row>
    <row r="91" spans="1:23">
      <c r="B91" s="295" t="s">
        <v>182</v>
      </c>
      <c r="C91" s="104" t="s">
        <v>228</v>
      </c>
      <c r="D91" s="326">
        <v>1857.1188040209167</v>
      </c>
      <c r="E91" s="326">
        <v>1659.0789137800416</v>
      </c>
      <c r="F91" s="326">
        <v>1802.0534949903988</v>
      </c>
      <c r="G91" s="326">
        <v>1974.2161292519104</v>
      </c>
      <c r="H91" s="326">
        <v>2092.685792657373</v>
      </c>
      <c r="I91" s="508"/>
      <c r="J91" s="507"/>
      <c r="K91" s="256"/>
      <c r="L91" s="507"/>
      <c r="M91" s="507"/>
      <c r="N91" s="256"/>
      <c r="O91" s="256"/>
      <c r="P91" s="256"/>
      <c r="Q91" s="256"/>
      <c r="R91" s="256"/>
      <c r="S91" s="256"/>
      <c r="T91" s="256"/>
      <c r="U91" s="256"/>
      <c r="V91" s="256"/>
      <c r="W91" s="256"/>
    </row>
    <row r="92" spans="1:23">
      <c r="A92" s="338"/>
      <c r="B92" s="265"/>
      <c r="C92" s="256"/>
      <c r="D92" s="256"/>
      <c r="E92" s="256"/>
      <c r="F92" s="256"/>
      <c r="G92" s="256"/>
      <c r="H92" s="256"/>
      <c r="I92" s="505"/>
      <c r="J92" s="505"/>
      <c r="K92" s="256"/>
      <c r="L92" s="507"/>
      <c r="M92" s="507"/>
      <c r="N92" s="256"/>
      <c r="O92" s="256"/>
      <c r="P92" s="256"/>
      <c r="Q92" s="256"/>
      <c r="R92" s="256"/>
      <c r="S92" s="256"/>
      <c r="T92" s="256"/>
      <c r="U92" s="256"/>
      <c r="V92" s="256"/>
      <c r="W92" s="256"/>
    </row>
    <row r="93" spans="1:23">
      <c r="A93" s="338"/>
      <c r="B93" s="265"/>
      <c r="C93" s="256"/>
      <c r="D93" s="256"/>
      <c r="E93" s="256"/>
      <c r="F93" s="256"/>
      <c r="G93" s="256"/>
      <c r="H93" s="256"/>
      <c r="I93" s="505"/>
      <c r="J93" s="505"/>
      <c r="K93" s="256"/>
      <c r="L93" s="507"/>
      <c r="M93" s="507"/>
      <c r="N93" s="256"/>
      <c r="O93" s="256"/>
      <c r="P93" s="256"/>
      <c r="Q93" s="256"/>
      <c r="R93" s="256"/>
      <c r="S93" s="256"/>
      <c r="T93" s="256"/>
      <c r="U93" s="256"/>
      <c r="V93" s="256"/>
      <c r="W93" s="256"/>
    </row>
    <row r="94" spans="1:23">
      <c r="A94" s="338"/>
      <c r="B94" s="306" t="s">
        <v>244</v>
      </c>
      <c r="D94" s="307" t="str">
        <f>ED!D100</f>
        <v>Actuals</v>
      </c>
      <c r="E94" s="307" t="str">
        <f>ED!E100</f>
        <v>Forecast</v>
      </c>
      <c r="F94" s="307" t="str">
        <f>ED!F100</f>
        <v>Forecast</v>
      </c>
      <c r="G94" s="307" t="str">
        <f>ED!G100</f>
        <v>Forecast</v>
      </c>
      <c r="H94" s="307" t="str">
        <f>ED!H100</f>
        <v>Forecast</v>
      </c>
      <c r="L94" s="507"/>
      <c r="M94" s="507"/>
      <c r="N94" s="256"/>
      <c r="O94" s="256"/>
      <c r="P94" s="256"/>
      <c r="Q94" s="256"/>
      <c r="R94" s="256"/>
      <c r="S94" s="256"/>
      <c r="T94" s="256"/>
      <c r="U94" s="256"/>
      <c r="V94" s="256"/>
      <c r="W94" s="256"/>
    </row>
    <row r="95" spans="1:23" ht="22.8">
      <c r="A95" s="338"/>
      <c r="B95" s="308"/>
      <c r="D95" s="309">
        <f>ED!D101</f>
        <v>2024</v>
      </c>
      <c r="E95" s="309">
        <f>ED!E101</f>
        <v>2025</v>
      </c>
      <c r="F95" s="309">
        <f>ED!F101</f>
        <v>2026</v>
      </c>
      <c r="G95" s="309">
        <f>ED!G101</f>
        <v>2027</v>
      </c>
      <c r="H95" s="309">
        <f>ED!H101</f>
        <v>2028</v>
      </c>
      <c r="J95" s="310" t="str">
        <f>ED!J101</f>
        <v>Cumulative to 2024</v>
      </c>
      <c r="K95" s="309" t="str">
        <f>ED!K101</f>
        <v>RIIO-2 period</v>
      </c>
      <c r="L95" s="504"/>
      <c r="M95" s="505"/>
      <c r="N95" s="256"/>
      <c r="O95" s="256"/>
      <c r="P95" s="256"/>
      <c r="Q95" s="256"/>
      <c r="R95" s="256"/>
      <c r="S95" s="256"/>
      <c r="T95" s="256"/>
      <c r="U95" s="256"/>
      <c r="V95" s="256"/>
      <c r="W95" s="256"/>
    </row>
    <row r="96" spans="1:23">
      <c r="A96" s="338"/>
      <c r="B96" s="308" t="s">
        <v>154</v>
      </c>
      <c r="C96" s="104" t="s">
        <v>228</v>
      </c>
      <c r="D96" s="337">
        <f>SUM(D105,D114)</f>
        <v>674.65475246969118</v>
      </c>
      <c r="E96" s="337">
        <f t="shared" ref="E96:H100" si="14">SUM(E105,E114)</f>
        <v>745.48342867310055</v>
      </c>
      <c r="F96" s="337">
        <f t="shared" si="14"/>
        <v>1126.6092008637256</v>
      </c>
      <c r="G96" s="337">
        <f t="shared" si="14"/>
        <v>974.23920086372618</v>
      </c>
      <c r="H96" s="337">
        <f t="shared" si="14"/>
        <v>733.85925158595683</v>
      </c>
      <c r="I96" s="308"/>
      <c r="J96" s="337">
        <f>SUM(J105,J114)</f>
        <v>674.65475246969118</v>
      </c>
      <c r="K96" s="337">
        <f>SUM(K105,K114)</f>
        <v>4254.8458344562005</v>
      </c>
      <c r="L96" s="504"/>
      <c r="M96" s="505"/>
      <c r="N96" s="256"/>
      <c r="O96" s="256"/>
      <c r="P96" s="256"/>
      <c r="Q96" s="256"/>
      <c r="R96" s="256"/>
      <c r="S96" s="256"/>
      <c r="T96" s="256"/>
      <c r="U96" s="256"/>
      <c r="V96" s="256"/>
      <c r="W96" s="256"/>
    </row>
    <row r="97" spans="1:23" ht="30" customHeight="1">
      <c r="A97" s="338"/>
      <c r="B97" s="312" t="s">
        <v>155</v>
      </c>
      <c r="C97" s="104" t="s">
        <v>228</v>
      </c>
      <c r="D97" s="337">
        <f>SUM(D106,D115)</f>
        <v>743.48764878716077</v>
      </c>
      <c r="E97" s="337">
        <f t="shared" si="14"/>
        <v>810.05167798830576</v>
      </c>
      <c r="F97" s="337">
        <f t="shared" si="14"/>
        <v>1060.8383864017878</v>
      </c>
      <c r="G97" s="337">
        <f t="shared" si="14"/>
        <v>854.73436964000007</v>
      </c>
      <c r="H97" s="337">
        <f t="shared" si="14"/>
        <v>817.67626505199996</v>
      </c>
      <c r="I97" s="308"/>
      <c r="J97" s="337">
        <f>SUM(J106,J115)</f>
        <v>743.48764878716077</v>
      </c>
      <c r="K97" s="337">
        <f>SUM(K106,K115)</f>
        <v>4286.7883478692547</v>
      </c>
      <c r="L97" s="504"/>
      <c r="M97" s="505"/>
      <c r="N97" s="256"/>
      <c r="O97" s="256"/>
      <c r="P97" s="256"/>
      <c r="Q97" s="256"/>
      <c r="R97" s="256"/>
      <c r="S97" s="256"/>
      <c r="T97" s="256"/>
      <c r="U97" s="256"/>
      <c r="V97" s="256"/>
      <c r="W97" s="256"/>
    </row>
    <row r="98" spans="1:23">
      <c r="A98" s="338"/>
      <c r="B98" s="306" t="s">
        <v>156</v>
      </c>
      <c r="C98" s="104" t="s">
        <v>228</v>
      </c>
      <c r="D98" s="150">
        <f>SUM(D107,D116)</f>
        <v>68.832896317469576</v>
      </c>
      <c r="E98" s="150">
        <f t="shared" si="14"/>
        <v>64.568249315205136</v>
      </c>
      <c r="F98" s="150">
        <f t="shared" si="14"/>
        <v>-65.770814461937803</v>
      </c>
      <c r="G98" s="150">
        <f t="shared" si="14"/>
        <v>-119.50483122372626</v>
      </c>
      <c r="H98" s="150">
        <f t="shared" si="14"/>
        <v>83.817013466043136</v>
      </c>
      <c r="I98" s="306"/>
      <c r="J98" s="150">
        <f t="shared" ref="J98:K100" si="15">SUM(J107,J116)</f>
        <v>68.832896317469576</v>
      </c>
      <c r="K98" s="150">
        <f t="shared" si="15"/>
        <v>31.942513413053803</v>
      </c>
      <c r="L98" s="504"/>
      <c r="M98" s="505"/>
      <c r="N98" s="256"/>
      <c r="O98" s="256"/>
      <c r="P98" s="256"/>
      <c r="Q98" s="256"/>
      <c r="R98" s="256"/>
      <c r="S98" s="256"/>
      <c r="T98" s="256"/>
      <c r="U98" s="256"/>
      <c r="V98" s="256"/>
      <c r="W98" s="256"/>
    </row>
    <row r="99" spans="1:23">
      <c r="A99" s="338"/>
      <c r="B99" s="308" t="s">
        <v>157</v>
      </c>
      <c r="C99" s="104" t="s">
        <v>228</v>
      </c>
      <c r="D99" s="337">
        <f>SUM(D108,D117)</f>
        <v>0</v>
      </c>
      <c r="E99" s="337">
        <f t="shared" si="14"/>
        <v>0</v>
      </c>
      <c r="F99" s="337">
        <f t="shared" si="14"/>
        <v>0</v>
      </c>
      <c r="G99" s="337">
        <f t="shared" si="14"/>
        <v>0</v>
      </c>
      <c r="H99" s="337">
        <f t="shared" si="14"/>
        <v>0</v>
      </c>
      <c r="I99" s="308"/>
      <c r="J99" s="337">
        <f t="shared" si="15"/>
        <v>0</v>
      </c>
      <c r="K99" s="337">
        <f t="shared" si="15"/>
        <v>0</v>
      </c>
      <c r="L99" s="504"/>
      <c r="M99" s="505"/>
      <c r="N99" s="256"/>
      <c r="O99" s="256"/>
      <c r="P99" s="256"/>
      <c r="Q99" s="256"/>
      <c r="R99" s="256"/>
      <c r="S99" s="256"/>
      <c r="T99" s="256"/>
      <c r="U99" s="256"/>
      <c r="V99" s="256"/>
      <c r="W99" s="256"/>
    </row>
    <row r="100" spans="1:23">
      <c r="A100" s="338"/>
      <c r="B100" s="306" t="s">
        <v>158</v>
      </c>
      <c r="C100" s="104" t="s">
        <v>228</v>
      </c>
      <c r="D100" s="150">
        <f>SUM(D109,D118)</f>
        <v>68.832896317469576</v>
      </c>
      <c r="E100" s="150">
        <f t="shared" si="14"/>
        <v>64.568249315205136</v>
      </c>
      <c r="F100" s="150">
        <f t="shared" si="14"/>
        <v>-65.770814461937803</v>
      </c>
      <c r="G100" s="150">
        <f t="shared" si="14"/>
        <v>-119.50483122372626</v>
      </c>
      <c r="H100" s="150">
        <f t="shared" si="14"/>
        <v>83.817013466043136</v>
      </c>
      <c r="I100" s="306"/>
      <c r="J100" s="150">
        <f t="shared" si="15"/>
        <v>68.832896317469576</v>
      </c>
      <c r="K100" s="150">
        <f t="shared" si="15"/>
        <v>31.942513413053803</v>
      </c>
      <c r="L100" s="506"/>
      <c r="M100" s="505"/>
      <c r="N100" s="256"/>
      <c r="O100" s="256"/>
      <c r="P100" s="256"/>
      <c r="Q100" s="256"/>
      <c r="R100" s="256"/>
      <c r="S100" s="256"/>
      <c r="T100" s="256"/>
      <c r="U100" s="256"/>
      <c r="V100" s="256"/>
      <c r="W100" s="256"/>
    </row>
    <row r="101" spans="1:23">
      <c r="A101" s="338"/>
      <c r="B101" s="306" t="s">
        <v>159</v>
      </c>
      <c r="C101" s="314" t="s">
        <v>163</v>
      </c>
      <c r="D101" s="151">
        <f>D100/D97</f>
        <v>9.2581089181179479E-2</v>
      </c>
      <c r="E101" s="151">
        <f t="shared" ref="E101:H101" si="16">E100/E97</f>
        <v>7.9708802623006572E-2</v>
      </c>
      <c r="F101" s="151">
        <f t="shared" si="16"/>
        <v>-6.199890134540003E-2</v>
      </c>
      <c r="G101" s="151">
        <f t="shared" si="16"/>
        <v>-0.1398151700323689</v>
      </c>
      <c r="H101" s="151">
        <f t="shared" si="16"/>
        <v>0.10250635495786686</v>
      </c>
      <c r="J101" s="151">
        <f>J100/J97</f>
        <v>9.2581089181179479E-2</v>
      </c>
      <c r="K101" s="151">
        <f>K100/K97</f>
        <v>7.4513857043888828E-3</v>
      </c>
      <c r="L101" s="506"/>
      <c r="M101" s="505"/>
      <c r="N101" s="256"/>
      <c r="O101" s="256"/>
      <c r="P101" s="256"/>
      <c r="Q101" s="256"/>
      <c r="R101" s="256"/>
      <c r="S101" s="256"/>
      <c r="T101" s="256"/>
      <c r="U101" s="256"/>
      <c r="V101" s="256"/>
      <c r="W101" s="256"/>
    </row>
    <row r="103" spans="1:23">
      <c r="B103" s="306" t="s">
        <v>245</v>
      </c>
      <c r="D103" s="307" t="str">
        <f>D94</f>
        <v>Actuals</v>
      </c>
      <c r="E103" s="307" t="str">
        <f t="shared" ref="E103:K104" si="17">E94</f>
        <v>Forecast</v>
      </c>
      <c r="F103" s="307" t="str">
        <f t="shared" si="17"/>
        <v>Forecast</v>
      </c>
      <c r="G103" s="307" t="str">
        <f t="shared" si="17"/>
        <v>Forecast</v>
      </c>
      <c r="H103" s="307" t="str">
        <f t="shared" si="17"/>
        <v>Forecast</v>
      </c>
      <c r="I103" s="308"/>
    </row>
    <row r="104" spans="1:23" ht="22.8">
      <c r="B104" s="308"/>
      <c r="D104" s="309">
        <f>D95</f>
        <v>2024</v>
      </c>
      <c r="E104" s="309">
        <f t="shared" si="17"/>
        <v>2025</v>
      </c>
      <c r="F104" s="309">
        <f t="shared" si="17"/>
        <v>2026</v>
      </c>
      <c r="G104" s="309">
        <f t="shared" si="17"/>
        <v>2027</v>
      </c>
      <c r="H104" s="309">
        <f t="shared" si="17"/>
        <v>2028</v>
      </c>
      <c r="I104" s="308"/>
      <c r="J104" s="310" t="str">
        <f t="shared" si="17"/>
        <v>Cumulative to 2024</v>
      </c>
      <c r="K104" s="310" t="str">
        <f t="shared" si="17"/>
        <v>RIIO-2 period</v>
      </c>
    </row>
    <row r="105" spans="1:23">
      <c r="B105" s="308" t="s">
        <v>154</v>
      </c>
      <c r="C105" s="104" t="s">
        <v>228</v>
      </c>
      <c r="D105" s="326">
        <v>273.4372674271994</v>
      </c>
      <c r="E105" s="326">
        <v>239.1059573357079</v>
      </c>
      <c r="F105" s="326">
        <v>526.98513177873883</v>
      </c>
      <c r="G105" s="326">
        <v>333.32513177873938</v>
      </c>
      <c r="H105" s="326">
        <v>271.10518250096999</v>
      </c>
      <c r="I105" s="308"/>
      <c r="J105" s="326">
        <v>273.4372674271994</v>
      </c>
      <c r="K105" s="326">
        <v>1643.9586708213556</v>
      </c>
    </row>
    <row r="106" spans="1:23" ht="22.8">
      <c r="B106" s="312" t="s">
        <v>155</v>
      </c>
      <c r="C106" s="104" t="s">
        <v>228</v>
      </c>
      <c r="D106" s="326">
        <v>300.33032031318049</v>
      </c>
      <c r="E106" s="326">
        <v>258.40325817231064</v>
      </c>
      <c r="F106" s="326">
        <v>500.45941535964613</v>
      </c>
      <c r="G106" s="326">
        <v>292.66152577959997</v>
      </c>
      <c r="H106" s="326">
        <v>296.32707639879999</v>
      </c>
      <c r="I106" s="308"/>
      <c r="J106" s="326">
        <v>300.33032031318049</v>
      </c>
      <c r="K106" s="326">
        <v>1648.1815960235372</v>
      </c>
    </row>
    <row r="107" spans="1:23">
      <c r="B107" s="306" t="s">
        <v>156</v>
      </c>
      <c r="C107" s="104" t="s">
        <v>228</v>
      </c>
      <c r="D107" s="326">
        <v>26.89305288598112</v>
      </c>
      <c r="E107" s="326">
        <v>19.297300836602727</v>
      </c>
      <c r="F107" s="326">
        <v>-26.52571641909276</v>
      </c>
      <c r="G107" s="326">
        <v>-40.663605999139413</v>
      </c>
      <c r="H107" s="326">
        <v>25.22189389783</v>
      </c>
      <c r="I107" s="308"/>
      <c r="J107" s="326">
        <v>26.89305288598112</v>
      </c>
      <c r="K107" s="326">
        <v>4.2229252021814432</v>
      </c>
    </row>
    <row r="108" spans="1:23">
      <c r="B108" s="308" t="s">
        <v>157</v>
      </c>
      <c r="C108" s="104" t="s">
        <v>228</v>
      </c>
      <c r="D108" s="326">
        <v>0</v>
      </c>
      <c r="E108" s="326">
        <v>0</v>
      </c>
      <c r="F108" s="326">
        <v>0</v>
      </c>
      <c r="G108" s="326">
        <v>0</v>
      </c>
      <c r="H108" s="326">
        <v>0</v>
      </c>
      <c r="I108" s="308"/>
      <c r="J108" s="326">
        <v>0</v>
      </c>
      <c r="K108" s="326">
        <v>0</v>
      </c>
    </row>
    <row r="109" spans="1:23">
      <c r="B109" s="306" t="s">
        <v>158</v>
      </c>
      <c r="C109" s="104" t="s">
        <v>228</v>
      </c>
      <c r="D109" s="303">
        <f>D107+D108</f>
        <v>26.89305288598112</v>
      </c>
      <c r="E109" s="303">
        <f>E107+E108</f>
        <v>19.297300836602727</v>
      </c>
      <c r="F109" s="303">
        <f t="shared" ref="F109" si="18">F107+F108</f>
        <v>-26.52571641909276</v>
      </c>
      <c r="G109" s="303">
        <f>G107+G108</f>
        <v>-40.663605999139413</v>
      </c>
      <c r="H109" s="303">
        <f t="shared" ref="H109" si="19">H107+H108</f>
        <v>25.22189389783</v>
      </c>
      <c r="I109" s="308"/>
      <c r="J109" s="303">
        <f>J107+J108</f>
        <v>26.89305288598112</v>
      </c>
      <c r="K109" s="303">
        <f>K107+K108</f>
        <v>4.2229252021814432</v>
      </c>
    </row>
    <row r="110" spans="1:23">
      <c r="B110" s="306" t="s">
        <v>159</v>
      </c>
      <c r="C110" s="314" t="s">
        <v>163</v>
      </c>
      <c r="D110" s="151">
        <f>D109/D106</f>
        <v>8.9544914605816026E-2</v>
      </c>
      <c r="E110" s="151">
        <f>E109/E106</f>
        <v>7.4679015168356497E-2</v>
      </c>
      <c r="F110" s="151">
        <f t="shared" ref="F110:H110" si="20">F109/F106</f>
        <v>-5.3002732299542277E-2</v>
      </c>
      <c r="G110" s="151">
        <f t="shared" si="20"/>
        <v>-0.1389441467948975</v>
      </c>
      <c r="H110" s="151">
        <f t="shared" si="20"/>
        <v>8.5115049911558271E-2</v>
      </c>
      <c r="J110" s="151">
        <f>J109/J106</f>
        <v>8.9544914605816026E-2</v>
      </c>
      <c r="K110" s="151">
        <f>K109/K106</f>
        <v>2.56217228269617E-3</v>
      </c>
    </row>
    <row r="112" spans="1:23">
      <c r="B112" s="306" t="s">
        <v>246</v>
      </c>
      <c r="D112" s="307" t="str">
        <f>D103</f>
        <v>Actuals</v>
      </c>
      <c r="E112" s="307" t="str">
        <f t="shared" ref="E112:K113" si="21">E103</f>
        <v>Forecast</v>
      </c>
      <c r="F112" s="307" t="str">
        <f t="shared" si="21"/>
        <v>Forecast</v>
      </c>
      <c r="G112" s="307" t="str">
        <f t="shared" si="21"/>
        <v>Forecast</v>
      </c>
      <c r="H112" s="307" t="str">
        <f t="shared" si="21"/>
        <v>Forecast</v>
      </c>
      <c r="I112" s="308"/>
    </row>
    <row r="113" spans="2:11" ht="22.8">
      <c r="B113" s="308"/>
      <c r="D113" s="309">
        <f>D104</f>
        <v>2024</v>
      </c>
      <c r="E113" s="309">
        <f t="shared" si="21"/>
        <v>2025</v>
      </c>
      <c r="F113" s="309">
        <f t="shared" si="21"/>
        <v>2026</v>
      </c>
      <c r="G113" s="309">
        <f t="shared" si="21"/>
        <v>2027</v>
      </c>
      <c r="H113" s="309">
        <f t="shared" si="21"/>
        <v>2028</v>
      </c>
      <c r="I113" s="308"/>
      <c r="J113" s="310" t="str">
        <f t="shared" si="21"/>
        <v>Cumulative to 2024</v>
      </c>
      <c r="K113" s="310" t="str">
        <f t="shared" si="21"/>
        <v>RIIO-2 period</v>
      </c>
    </row>
    <row r="114" spans="2:11">
      <c r="B114" s="308" t="s">
        <v>154</v>
      </c>
      <c r="C114" s="104" t="s">
        <v>228</v>
      </c>
      <c r="D114" s="326">
        <v>401.21748504249183</v>
      </c>
      <c r="E114" s="326">
        <v>506.37747133739265</v>
      </c>
      <c r="F114" s="326">
        <v>599.62406908498679</v>
      </c>
      <c r="G114" s="326">
        <v>640.91406908498686</v>
      </c>
      <c r="H114" s="326">
        <v>462.75406908498684</v>
      </c>
      <c r="I114" s="308"/>
      <c r="J114" s="326">
        <v>401.21748504249183</v>
      </c>
      <c r="K114" s="326">
        <v>2610.8871636348449</v>
      </c>
    </row>
    <row r="115" spans="2:11" ht="22.8">
      <c r="B115" s="312" t="s">
        <v>155</v>
      </c>
      <c r="C115" s="104" t="s">
        <v>228</v>
      </c>
      <c r="D115" s="326">
        <v>443.15732847398027</v>
      </c>
      <c r="E115" s="326">
        <v>551.64841981599511</v>
      </c>
      <c r="F115" s="326">
        <v>560.37897104214176</v>
      </c>
      <c r="G115" s="326">
        <v>562.0728438604001</v>
      </c>
      <c r="H115" s="326">
        <v>521.34918865319992</v>
      </c>
      <c r="I115" s="308"/>
      <c r="J115" s="326">
        <v>443.15732847398027</v>
      </c>
      <c r="K115" s="326">
        <v>2638.6067518457171</v>
      </c>
    </row>
    <row r="116" spans="2:11">
      <c r="B116" s="306" t="s">
        <v>156</v>
      </c>
      <c r="C116" s="104" t="s">
        <v>228</v>
      </c>
      <c r="D116" s="326">
        <v>41.939843431488455</v>
      </c>
      <c r="E116" s="326">
        <v>45.270948478602406</v>
      </c>
      <c r="F116" s="326">
        <v>-39.245098042845044</v>
      </c>
      <c r="G116" s="326">
        <v>-78.84122522458685</v>
      </c>
      <c r="H116" s="326">
        <v>58.595119568213136</v>
      </c>
      <c r="I116" s="308"/>
      <c r="J116" s="326">
        <v>41.939843431488455</v>
      </c>
      <c r="K116" s="326">
        <v>27.719588210872359</v>
      </c>
    </row>
    <row r="117" spans="2:11">
      <c r="B117" s="308" t="s">
        <v>157</v>
      </c>
      <c r="C117" s="104" t="s">
        <v>228</v>
      </c>
      <c r="D117" s="326">
        <v>0</v>
      </c>
      <c r="E117" s="326">
        <v>0</v>
      </c>
      <c r="F117" s="326">
        <v>0</v>
      </c>
      <c r="G117" s="326">
        <v>0</v>
      </c>
      <c r="H117" s="326">
        <v>0</v>
      </c>
      <c r="I117" s="308"/>
      <c r="J117" s="326">
        <v>0</v>
      </c>
      <c r="K117" s="326">
        <v>0</v>
      </c>
    </row>
    <row r="118" spans="2:11">
      <c r="B118" s="306" t="s">
        <v>158</v>
      </c>
      <c r="C118" s="104" t="s">
        <v>228</v>
      </c>
      <c r="D118" s="303">
        <f>D116+D117</f>
        <v>41.939843431488455</v>
      </c>
      <c r="E118" s="303">
        <f>E116+E117</f>
        <v>45.270948478602406</v>
      </c>
      <c r="F118" s="303">
        <f t="shared" ref="F118" si="22">F116+F117</f>
        <v>-39.245098042845044</v>
      </c>
      <c r="G118" s="303">
        <f>G116+G117</f>
        <v>-78.84122522458685</v>
      </c>
      <c r="H118" s="303">
        <f t="shared" ref="H118" si="23">H116+H117</f>
        <v>58.595119568213136</v>
      </c>
      <c r="I118" s="308"/>
      <c r="J118" s="303">
        <f>J116+J117</f>
        <v>41.939843431488455</v>
      </c>
      <c r="K118" s="303">
        <f>K116+K117</f>
        <v>27.719588210872359</v>
      </c>
    </row>
    <row r="119" spans="2:11">
      <c r="B119" s="306" t="s">
        <v>159</v>
      </c>
      <c r="C119" s="314" t="s">
        <v>163</v>
      </c>
      <c r="D119" s="151">
        <f>D118/D115</f>
        <v>9.4638722495933927E-2</v>
      </c>
      <c r="E119" s="151">
        <f>E118/E115</f>
        <v>8.2064856623178112E-2</v>
      </c>
      <c r="F119" s="151">
        <f t="shared" ref="F119:H119" si="24">F118/F115</f>
        <v>-7.003313841320738E-2</v>
      </c>
      <c r="G119" s="151">
        <f t="shared" si="24"/>
        <v>-0.14026869663919994</v>
      </c>
      <c r="H119" s="151">
        <f t="shared" si="24"/>
        <v>0.11239131247059531</v>
      </c>
      <c r="J119" s="151">
        <f>J118/J115</f>
        <v>9.4638722495933927E-2</v>
      </c>
      <c r="K119" s="151">
        <f>K118/K115</f>
        <v>1.0505388190749677E-2</v>
      </c>
    </row>
  </sheetData>
  <mergeCells count="116">
    <mergeCell ref="L6:M6"/>
    <mergeCell ref="L8:M8"/>
    <mergeCell ref="I9:J9"/>
    <mergeCell ref="L9:M9"/>
    <mergeCell ref="I10:J10"/>
    <mergeCell ref="L10:M10"/>
    <mergeCell ref="I1:J1"/>
    <mergeCell ref="I2:J2"/>
    <mergeCell ref="I3:J3"/>
    <mergeCell ref="I4:J4"/>
    <mergeCell ref="L4:M4"/>
    <mergeCell ref="I6:J6"/>
    <mergeCell ref="L5:M5"/>
    <mergeCell ref="L17:M17"/>
    <mergeCell ref="L18:M18"/>
    <mergeCell ref="L19:M19"/>
    <mergeCell ref="L20:M20"/>
    <mergeCell ref="L21:M21"/>
    <mergeCell ref="L22:M22"/>
    <mergeCell ref="L11:M11"/>
    <mergeCell ref="L12:M12"/>
    <mergeCell ref="L13:M13"/>
    <mergeCell ref="L14:M14"/>
    <mergeCell ref="L15:M15"/>
    <mergeCell ref="L16:M16"/>
    <mergeCell ref="L29:M29"/>
    <mergeCell ref="L30:M30"/>
    <mergeCell ref="L31:M31"/>
    <mergeCell ref="L32:M32"/>
    <mergeCell ref="L33:M33"/>
    <mergeCell ref="L23:M23"/>
    <mergeCell ref="L24:M24"/>
    <mergeCell ref="L25:M25"/>
    <mergeCell ref="L26:M26"/>
    <mergeCell ref="L27:M27"/>
    <mergeCell ref="L28:M28"/>
    <mergeCell ref="I37:J37"/>
    <mergeCell ref="L37:M37"/>
    <mergeCell ref="L38:M38"/>
    <mergeCell ref="L39:M39"/>
    <mergeCell ref="L40:M40"/>
    <mergeCell ref="L41:M41"/>
    <mergeCell ref="I34:J34"/>
    <mergeCell ref="L34:M34"/>
    <mergeCell ref="I35:J35"/>
    <mergeCell ref="L35:M35"/>
    <mergeCell ref="I36:J36"/>
    <mergeCell ref="L36:M36"/>
    <mergeCell ref="L48:M48"/>
    <mergeCell ref="L49:M49"/>
    <mergeCell ref="L50:M50"/>
    <mergeCell ref="L51:M51"/>
    <mergeCell ref="L52:M52"/>
    <mergeCell ref="L53:M53"/>
    <mergeCell ref="L42:M42"/>
    <mergeCell ref="L43:M43"/>
    <mergeCell ref="L44:M44"/>
    <mergeCell ref="L45:M45"/>
    <mergeCell ref="L46:M46"/>
    <mergeCell ref="L47:M47"/>
    <mergeCell ref="L60:M60"/>
    <mergeCell ref="I61:J61"/>
    <mergeCell ref="L61:M61"/>
    <mergeCell ref="I62:J62"/>
    <mergeCell ref="L62:M62"/>
    <mergeCell ref="L54:M54"/>
    <mergeCell ref="L55:M55"/>
    <mergeCell ref="L56:M56"/>
    <mergeCell ref="L57:M57"/>
    <mergeCell ref="L58:M58"/>
    <mergeCell ref="L59:M59"/>
    <mergeCell ref="L67:M67"/>
    <mergeCell ref="L68:M68"/>
    <mergeCell ref="L69:M69"/>
    <mergeCell ref="L70:M70"/>
    <mergeCell ref="L71:M71"/>
    <mergeCell ref="L72:M72"/>
    <mergeCell ref="I63:J63"/>
    <mergeCell ref="L63:M63"/>
    <mergeCell ref="I64:J64"/>
    <mergeCell ref="L64:M64"/>
    <mergeCell ref="L65:M65"/>
    <mergeCell ref="L66:M66"/>
    <mergeCell ref="L79:M79"/>
    <mergeCell ref="L80:M80"/>
    <mergeCell ref="L81:M81"/>
    <mergeCell ref="L82:M82"/>
    <mergeCell ref="L83:M83"/>
    <mergeCell ref="L84:M84"/>
    <mergeCell ref="L73:M73"/>
    <mergeCell ref="L74:M74"/>
    <mergeCell ref="L75:M75"/>
    <mergeCell ref="L76:M76"/>
    <mergeCell ref="L77:M77"/>
    <mergeCell ref="L78:M78"/>
    <mergeCell ref="I90:J90"/>
    <mergeCell ref="L90:M90"/>
    <mergeCell ref="I91:J91"/>
    <mergeCell ref="L91:M91"/>
    <mergeCell ref="I92:J92"/>
    <mergeCell ref="L92:M92"/>
    <mergeCell ref="L85:M85"/>
    <mergeCell ref="L86:M86"/>
    <mergeCell ref="L87:M87"/>
    <mergeCell ref="L88:M88"/>
    <mergeCell ref="L89:M89"/>
    <mergeCell ref="L99:M99"/>
    <mergeCell ref="L100:M100"/>
    <mergeCell ref="L101:M101"/>
    <mergeCell ref="L96:M96"/>
    <mergeCell ref="L97:M97"/>
    <mergeCell ref="L98:M98"/>
    <mergeCell ref="I93:J93"/>
    <mergeCell ref="L93:M93"/>
    <mergeCell ref="L94:M94"/>
    <mergeCell ref="L95:M95"/>
  </mergeCells>
  <conditionalFormatting sqref="D94:H95 J95">
    <cfRule type="expression" dxfId="9" priority="106">
      <formula>AND(#REF!="Actuals",#REF!="Forecast")</formula>
    </cfRule>
  </conditionalFormatting>
  <conditionalFormatting sqref="D103:H104 J104 D112:H113 J113">
    <cfRule type="expression" dxfId="8" priority="7">
      <formula>AND(D$7="Actuals",E$7="Forecast")</formula>
    </cfRule>
  </conditionalFormatting>
  <conditionalFormatting sqref="K95">
    <cfRule type="expression" dxfId="7" priority="108">
      <formula>AND(#REF!="Actuals",L$6="Forecast")</formula>
    </cfRule>
  </conditionalFormatting>
  <conditionalFormatting sqref="K104 K113">
    <cfRule type="expression" dxfId="6" priority="8">
      <formula>AND(K$7="Actuals",L$6="Forecast")</formula>
    </cfRule>
  </conditionalFormatting>
  <pageMargins left="0.7" right="0.7" top="0.75" bottom="0.75" header="0.3" footer="0.3"/>
  <ignoredErrors>
    <ignoredError sqref="J29:K2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016C7-54AD-4630-A2CE-FB1518935BAA}">
  <sheetPr>
    <tabColor theme="8" tint="0.39997558519241921"/>
  </sheetPr>
  <dimension ref="A1:W134"/>
  <sheetViews>
    <sheetView zoomScale="80" zoomScaleNormal="80" workbookViewId="0"/>
  </sheetViews>
  <sheetFormatPr defaultColWidth="9.26953125" defaultRowHeight="11.4"/>
  <cols>
    <col min="1" max="1" width="5.90625" style="314" customWidth="1"/>
    <col min="2" max="2" width="51.08984375" style="104" bestFit="1" customWidth="1"/>
    <col min="3" max="8" width="7.90625" style="104" customWidth="1"/>
    <col min="9" max="9" width="2.08984375" style="104" customWidth="1"/>
    <col min="10" max="10" width="10.08984375" style="104" customWidth="1"/>
    <col min="11" max="11" width="10.453125" style="104" customWidth="1"/>
    <col min="12" max="12" width="1.08984375" style="104" bestFit="1" customWidth="1"/>
    <col min="13" max="16384" width="9.26953125" style="104"/>
  </cols>
  <sheetData>
    <row r="1" spans="1:23" ht="15.6">
      <c r="A1" s="419" t="s">
        <v>162</v>
      </c>
      <c r="B1" s="330"/>
      <c r="C1" s="331"/>
      <c r="D1" s="331"/>
      <c r="E1" s="331"/>
      <c r="F1" s="331"/>
      <c r="G1" s="332"/>
      <c r="H1" s="332"/>
      <c r="I1" s="522"/>
      <c r="J1" s="522"/>
      <c r="K1" s="254"/>
      <c r="L1" s="255" t="s">
        <v>30</v>
      </c>
      <c r="M1" s="256"/>
      <c r="N1" s="256"/>
      <c r="O1" s="256"/>
      <c r="P1" s="256"/>
      <c r="Q1" s="256"/>
      <c r="R1" s="256"/>
      <c r="S1" s="256"/>
      <c r="T1" s="256"/>
      <c r="U1" s="256"/>
      <c r="V1" s="256"/>
      <c r="W1" s="256"/>
    </row>
    <row r="2" spans="1:23" ht="15.6">
      <c r="A2" s="425" t="s">
        <v>27</v>
      </c>
      <c r="B2" s="333"/>
      <c r="C2" s="334"/>
      <c r="D2" s="334"/>
      <c r="E2" s="334"/>
      <c r="F2" s="334"/>
      <c r="G2" s="335"/>
      <c r="H2" s="335"/>
      <c r="I2" s="523"/>
      <c r="J2" s="523"/>
      <c r="K2" s="260"/>
      <c r="L2" s="261"/>
      <c r="M2" s="256"/>
      <c r="N2" s="256"/>
      <c r="O2" s="256"/>
      <c r="P2" s="256"/>
      <c r="Q2" s="256"/>
      <c r="R2" s="256"/>
      <c r="S2" s="256"/>
      <c r="T2" s="256"/>
      <c r="U2" s="256"/>
      <c r="V2" s="256"/>
      <c r="W2" s="256"/>
    </row>
    <row r="3" spans="1:23" ht="15.6">
      <c r="A3" s="430">
        <v>2024</v>
      </c>
      <c r="B3" s="335"/>
      <c r="C3" s="335"/>
      <c r="D3" s="335"/>
      <c r="E3" s="335"/>
      <c r="F3" s="335"/>
      <c r="G3" s="335"/>
      <c r="H3" s="336"/>
      <c r="I3" s="524"/>
      <c r="J3" s="524"/>
      <c r="K3" s="263"/>
      <c r="L3" s="264"/>
      <c r="M3" s="256"/>
      <c r="N3" s="256"/>
      <c r="O3" s="256"/>
      <c r="P3" s="256"/>
      <c r="Q3" s="256"/>
      <c r="R3" s="256"/>
      <c r="S3" s="256"/>
      <c r="T3" s="256"/>
      <c r="U3" s="256"/>
      <c r="V3" s="256"/>
      <c r="W3" s="256"/>
    </row>
    <row r="4" spans="1:23">
      <c r="A4" s="342"/>
      <c r="B4" s="265"/>
      <c r="C4" s="256"/>
      <c r="D4" s="256"/>
      <c r="E4" s="256"/>
      <c r="F4" s="256"/>
      <c r="G4" s="256"/>
      <c r="H4" s="256"/>
      <c r="I4" s="525"/>
      <c r="J4" s="525"/>
      <c r="K4" s="256"/>
      <c r="L4" s="505"/>
      <c r="M4" s="505"/>
      <c r="N4" s="256"/>
      <c r="O4" s="256"/>
      <c r="P4" s="256"/>
      <c r="Q4" s="256"/>
      <c r="R4" s="256"/>
      <c r="S4" s="256"/>
      <c r="T4" s="256"/>
      <c r="U4" s="256"/>
      <c r="V4" s="256"/>
      <c r="W4" s="256"/>
    </row>
    <row r="5" spans="1:23">
      <c r="A5" s="342"/>
      <c r="B5" s="265"/>
      <c r="C5" s="256"/>
      <c r="L5" s="505"/>
      <c r="M5" s="505"/>
      <c r="N5" s="256"/>
      <c r="O5" s="256"/>
      <c r="P5" s="256"/>
      <c r="Q5" s="256"/>
      <c r="R5" s="256"/>
      <c r="S5" s="256"/>
      <c r="T5" s="256"/>
      <c r="U5" s="256"/>
      <c r="V5" s="256"/>
      <c r="W5" s="256"/>
    </row>
    <row r="6" spans="1:23">
      <c r="A6" s="342"/>
      <c r="B6" s="265"/>
      <c r="C6" s="266"/>
      <c r="D6" s="267" t="s">
        <v>198</v>
      </c>
      <c r="E6" s="267" t="s">
        <v>211</v>
      </c>
      <c r="F6" s="267" t="s">
        <v>211</v>
      </c>
      <c r="G6" s="267" t="s">
        <v>211</v>
      </c>
      <c r="H6" s="267" t="s">
        <v>211</v>
      </c>
      <c r="I6" s="526"/>
      <c r="J6" s="527"/>
      <c r="K6" s="256"/>
      <c r="L6" s="504"/>
      <c r="M6" s="505"/>
      <c r="N6" s="256"/>
      <c r="O6" s="256"/>
      <c r="P6" s="256"/>
      <c r="Q6" s="256"/>
      <c r="R6" s="256"/>
      <c r="S6" s="256"/>
      <c r="T6" s="256"/>
      <c r="U6" s="256"/>
      <c r="V6" s="256"/>
      <c r="W6" s="256"/>
    </row>
    <row r="7" spans="1:23" ht="22.8">
      <c r="A7" s="342"/>
      <c r="B7" s="265"/>
      <c r="C7" s="266"/>
      <c r="D7" s="269">
        <v>2024</v>
      </c>
      <c r="E7" s="269">
        <v>2025</v>
      </c>
      <c r="F7" s="269">
        <v>2026</v>
      </c>
      <c r="G7" s="269">
        <v>2027</v>
      </c>
      <c r="H7" s="269">
        <v>2028</v>
      </c>
      <c r="I7" s="270"/>
      <c r="J7" s="271" t="s">
        <v>58</v>
      </c>
      <c r="K7" s="272" t="s">
        <v>59</v>
      </c>
      <c r="L7" s="266"/>
      <c r="M7" s="256"/>
      <c r="N7" s="256"/>
      <c r="O7" s="256"/>
      <c r="P7" s="256"/>
      <c r="Q7" s="256"/>
      <c r="R7" s="256"/>
      <c r="S7" s="256"/>
      <c r="T7" s="256"/>
      <c r="U7" s="256"/>
      <c r="V7" s="256"/>
      <c r="W7" s="256"/>
    </row>
    <row r="8" spans="1:23">
      <c r="A8" s="342"/>
      <c r="B8" s="265"/>
      <c r="C8" s="265"/>
      <c r="D8" s="265"/>
      <c r="E8" s="265"/>
      <c r="F8" s="265"/>
      <c r="G8" s="265"/>
      <c r="H8" s="265"/>
      <c r="I8" s="265"/>
      <c r="J8" s="265"/>
      <c r="K8" s="265"/>
      <c r="L8" s="507"/>
      <c r="M8" s="507"/>
      <c r="N8" s="265"/>
      <c r="O8" s="265"/>
      <c r="P8" s="265"/>
      <c r="Q8" s="265"/>
      <c r="R8" s="265"/>
      <c r="S8" s="265"/>
      <c r="T8" s="265"/>
      <c r="U8" s="256"/>
      <c r="V8" s="256"/>
      <c r="W8" s="256"/>
    </row>
    <row r="9" spans="1:23">
      <c r="A9" s="342"/>
      <c r="B9" s="273" t="s">
        <v>56</v>
      </c>
      <c r="C9" s="274"/>
      <c r="D9" s="274"/>
      <c r="E9" s="274"/>
      <c r="F9" s="274"/>
      <c r="G9" s="274"/>
      <c r="H9" s="274"/>
      <c r="I9" s="520"/>
      <c r="J9" s="520"/>
      <c r="K9" s="274"/>
      <c r="L9" s="513"/>
      <c r="M9" s="513"/>
      <c r="N9" s="256"/>
      <c r="O9" s="256"/>
      <c r="P9" s="256"/>
      <c r="Q9" s="256"/>
      <c r="R9" s="256"/>
      <c r="S9" s="256"/>
      <c r="T9" s="256"/>
      <c r="U9" s="256"/>
      <c r="V9" s="256"/>
      <c r="W9" s="256"/>
    </row>
    <row r="10" spans="1:23">
      <c r="A10" s="342"/>
      <c r="B10" s="275"/>
      <c r="C10" s="256"/>
      <c r="D10" s="256"/>
      <c r="E10" s="256"/>
      <c r="F10" s="256"/>
      <c r="G10" s="256"/>
      <c r="H10" s="256"/>
      <c r="I10" s="521"/>
      <c r="J10" s="521"/>
      <c r="K10" s="256"/>
      <c r="L10" s="505"/>
      <c r="M10" s="505"/>
      <c r="N10" s="256"/>
      <c r="O10" s="256"/>
      <c r="P10" s="256"/>
      <c r="Q10" s="256"/>
      <c r="R10" s="256"/>
      <c r="S10" s="256"/>
      <c r="T10" s="256"/>
      <c r="U10" s="256"/>
      <c r="V10" s="256"/>
      <c r="W10" s="256"/>
    </row>
    <row r="11" spans="1:23">
      <c r="A11" s="342"/>
      <c r="B11" s="276" t="s">
        <v>107</v>
      </c>
      <c r="C11" s="277" t="s">
        <v>163</v>
      </c>
      <c r="D11" s="316">
        <f t="shared" ref="D11:H20" si="0">D69/D$96</f>
        <v>5.2833944000000008E-2</v>
      </c>
      <c r="E11" s="316">
        <f t="shared" si="0"/>
        <v>5.5875457999999996E-2</v>
      </c>
      <c r="F11" s="316">
        <f t="shared" si="0"/>
        <v>5.517542700000002E-2</v>
      </c>
      <c r="G11" s="316">
        <f t="shared" si="0"/>
        <v>5.5320260999999996E-2</v>
      </c>
      <c r="H11" s="316">
        <f t="shared" si="0"/>
        <v>5.5489234000000012E-2</v>
      </c>
      <c r="I11" s="278"/>
      <c r="J11" s="408">
        <f>AVERAGE(D69:INDEX(D69:H69,0,MATCH(Data!$B$3,$D$7:$H$7,0)))/AVERAGE($D$96:INDEX($D$96:$H$96,0,MATCH(Data!$B$3,$D$7:$H$7,0)))</f>
        <v>5.2833944000000008E-2</v>
      </c>
      <c r="K11" s="408">
        <f t="shared" ref="K11:K27" si="1">AVERAGE(D69:H69)/AVERAGE($D$96:$H$96)</f>
        <v>5.4962918254766298E-2</v>
      </c>
      <c r="L11" s="505"/>
      <c r="M11" s="505"/>
      <c r="N11" s="256"/>
      <c r="O11" s="256"/>
      <c r="P11" s="256"/>
      <c r="Q11" s="256"/>
      <c r="R11" s="256"/>
      <c r="S11" s="256"/>
      <c r="T11" s="256"/>
      <c r="U11" s="256"/>
      <c r="V11" s="256"/>
      <c r="W11" s="256"/>
    </row>
    <row r="12" spans="1:23">
      <c r="A12" s="342"/>
      <c r="B12" s="276" t="s">
        <v>108</v>
      </c>
      <c r="C12" s="277" t="s">
        <v>163</v>
      </c>
      <c r="D12" s="316">
        <f t="shared" si="0"/>
        <v>2.71938855594007E-2</v>
      </c>
      <c r="E12" s="316">
        <f t="shared" si="0"/>
        <v>2.4035690998600135E-2</v>
      </c>
      <c r="F12" s="316">
        <f t="shared" si="0"/>
        <v>3.879787329884006E-3</v>
      </c>
      <c r="G12" s="316">
        <f t="shared" si="0"/>
        <v>4.8064997027058784E-3</v>
      </c>
      <c r="H12" s="316">
        <f t="shared" si="0"/>
        <v>6.1988119834287658E-3</v>
      </c>
      <c r="I12" s="278"/>
      <c r="J12" s="408">
        <f>AVERAGE(D70:INDEX(D70:H70,0,MATCH(Data!$B$3,$D$7:$H$7,0)))/AVERAGE($D$96:INDEX($D$96:$H$96,0,MATCH(Data!$B$3,$D$7:$H$7,0)))</f>
        <v>2.71938855594007E-2</v>
      </c>
      <c r="K12" s="408">
        <f t="shared" si="1"/>
        <v>1.2907482723182045E-2</v>
      </c>
      <c r="L12" s="505"/>
      <c r="M12" s="505"/>
      <c r="N12" s="256"/>
      <c r="O12" s="256"/>
      <c r="P12" s="256"/>
      <c r="Q12" s="256"/>
      <c r="R12" s="256"/>
      <c r="S12" s="256"/>
      <c r="T12" s="256"/>
      <c r="U12" s="256"/>
      <c r="V12" s="256"/>
      <c r="W12" s="256"/>
    </row>
    <row r="13" spans="1:23">
      <c r="A13" s="342" t="s">
        <v>212</v>
      </c>
      <c r="B13" s="276" t="s">
        <v>109</v>
      </c>
      <c r="C13" s="277" t="s">
        <v>163</v>
      </c>
      <c r="D13" s="316">
        <f t="shared" si="0"/>
        <v>1.9861404043253926E-3</v>
      </c>
      <c r="E13" s="316">
        <f t="shared" si="0"/>
        <v>1.9347630410448387E-3</v>
      </c>
      <c r="F13" s="316">
        <f t="shared" si="0"/>
        <v>1.879423000962318E-3</v>
      </c>
      <c r="G13" s="316">
        <f t="shared" si="0"/>
        <v>1.8360606793695726E-3</v>
      </c>
      <c r="H13" s="316">
        <f t="shared" si="0"/>
        <v>1.798971557715567E-3</v>
      </c>
      <c r="I13" s="278"/>
      <c r="J13" s="408">
        <f>AVERAGE(D71:INDEX(D71:H71,0,MATCH(Data!$B$3,$D$7:$H$7,0)))/AVERAGE($D$96:INDEX($D$96:$H$96,0,MATCH(Data!$B$3,$D$7:$H$7,0)))</f>
        <v>1.9861404043253926E-3</v>
      </c>
      <c r="K13" s="408">
        <f t="shared" si="1"/>
        <v>1.8846987303657635E-3</v>
      </c>
      <c r="L13" s="505"/>
      <c r="M13" s="505"/>
      <c r="N13" s="256"/>
      <c r="O13" s="256"/>
      <c r="P13" s="256"/>
      <c r="Q13" s="256"/>
      <c r="R13" s="256"/>
      <c r="S13" s="256"/>
      <c r="T13" s="256"/>
      <c r="U13" s="256"/>
      <c r="V13" s="256"/>
      <c r="W13" s="256"/>
    </row>
    <row r="14" spans="1:23">
      <c r="A14" s="342" t="s">
        <v>213</v>
      </c>
      <c r="B14" s="276" t="s">
        <v>110</v>
      </c>
      <c r="C14" s="277" t="s">
        <v>163</v>
      </c>
      <c r="D14" s="316">
        <f t="shared" si="0"/>
        <v>6.231564885355777E-4</v>
      </c>
      <c r="E14" s="316">
        <f t="shared" si="0"/>
        <v>5.8648778382539111E-4</v>
      </c>
      <c r="F14" s="316">
        <f t="shared" si="0"/>
        <v>5.8322883476597898E-4</v>
      </c>
      <c r="G14" s="316">
        <f t="shared" si="0"/>
        <v>5.8217574772230485E-4</v>
      </c>
      <c r="H14" s="316">
        <f t="shared" si="0"/>
        <v>6.0067085518390175E-4</v>
      </c>
      <c r="I14" s="278"/>
      <c r="J14" s="408">
        <f>AVERAGE(D72:INDEX(D72:H72,0,MATCH(Data!$B$3,$D$7:$H$7,0)))/AVERAGE($D$96:INDEX($D$96:$H$96,0,MATCH(Data!$B$3,$D$7:$H$7,0)))</f>
        <v>6.231564885355777E-4</v>
      </c>
      <c r="K14" s="408">
        <f t="shared" si="1"/>
        <v>5.9487987206634587E-4</v>
      </c>
      <c r="L14" s="505"/>
      <c r="M14" s="505"/>
      <c r="N14" s="256"/>
      <c r="O14" s="256"/>
      <c r="P14" s="256"/>
      <c r="Q14" s="256"/>
      <c r="R14" s="256"/>
      <c r="S14" s="256"/>
      <c r="T14" s="256"/>
      <c r="U14" s="256"/>
      <c r="V14" s="256"/>
      <c r="W14" s="256"/>
    </row>
    <row r="15" spans="1:23">
      <c r="A15" s="342" t="s">
        <v>214</v>
      </c>
      <c r="B15" s="276" t="s">
        <v>111</v>
      </c>
      <c r="C15" s="277" t="s">
        <v>163</v>
      </c>
      <c r="D15" s="316">
        <f t="shared" si="0"/>
        <v>3.1545110418990004E-3</v>
      </c>
      <c r="E15" s="316">
        <f t="shared" si="0"/>
        <v>3.0729103356149892E-3</v>
      </c>
      <c r="F15" s="316">
        <f t="shared" si="0"/>
        <v>2.9850158609246468E-3</v>
      </c>
      <c r="G15" s="316">
        <f t="shared" si="0"/>
        <v>2.9161451396157211E-3</v>
      </c>
      <c r="H15" s="316">
        <f t="shared" si="0"/>
        <v>2.8572379024752355E-3</v>
      </c>
      <c r="I15" s="278"/>
      <c r="J15" s="408">
        <f>AVERAGE(D73:INDEX(D73:H73,0,MATCH(Data!$B$3,$D$7:$H$7,0)))/AVERAGE($D$96:INDEX($D$96:$H$96,0,MATCH(Data!$B$3,$D$7:$H$7,0)))</f>
        <v>3.1545110418990004E-3</v>
      </c>
      <c r="K15" s="408">
        <f t="shared" si="1"/>
        <v>2.9933951006908773E-3</v>
      </c>
      <c r="L15" s="505"/>
      <c r="M15" s="505"/>
      <c r="N15" s="256"/>
      <c r="O15" s="256"/>
      <c r="P15" s="256"/>
      <c r="Q15" s="256"/>
      <c r="R15" s="256"/>
      <c r="S15" s="256"/>
      <c r="T15" s="256"/>
      <c r="U15" s="256"/>
      <c r="V15" s="256"/>
      <c r="W15" s="256"/>
    </row>
    <row r="16" spans="1:23">
      <c r="A16" s="342" t="s">
        <v>215</v>
      </c>
      <c r="B16" s="276" t="s">
        <v>112</v>
      </c>
      <c r="C16" s="277" t="s">
        <v>163</v>
      </c>
      <c r="D16" s="316">
        <f t="shared" si="0"/>
        <v>-2.3335405688817644E-3</v>
      </c>
      <c r="E16" s="316">
        <f t="shared" si="0"/>
        <v>4.0842624977666792E-4</v>
      </c>
      <c r="F16" s="316">
        <f t="shared" si="0"/>
        <v>1.2354705644386456E-3</v>
      </c>
      <c r="G16" s="316">
        <f t="shared" si="0"/>
        <v>1.5302292730900889E-3</v>
      </c>
      <c r="H16" s="316">
        <f t="shared" si="0"/>
        <v>1.8103105125651035E-3</v>
      </c>
      <c r="I16" s="278"/>
      <c r="J16" s="408">
        <f>AVERAGE(D74:INDEX(D74:H74,0,MATCH(Data!$B$3,$D$7:$H$7,0)))/AVERAGE($D$96:INDEX($D$96:$H$96,0,MATCH(Data!$B$3,$D$7:$H$7,0)))</f>
        <v>-2.3335405688817644E-3</v>
      </c>
      <c r="K16" s="408">
        <f t="shared" si="1"/>
        <v>5.7795692358531285E-4</v>
      </c>
      <c r="L16" s="505"/>
      <c r="M16" s="505"/>
      <c r="N16" s="256"/>
      <c r="O16" s="256"/>
      <c r="P16" s="256"/>
      <c r="Q16" s="256"/>
      <c r="R16" s="256"/>
      <c r="S16" s="256"/>
      <c r="T16" s="256"/>
      <c r="U16" s="256"/>
      <c r="V16" s="256"/>
      <c r="W16" s="256"/>
    </row>
    <row r="17" spans="1:23">
      <c r="A17" s="342" t="s">
        <v>216</v>
      </c>
      <c r="B17" s="276" t="s">
        <v>113</v>
      </c>
      <c r="C17" s="277" t="s">
        <v>163</v>
      </c>
      <c r="D17" s="316">
        <f t="shared" si="0"/>
        <v>0</v>
      </c>
      <c r="E17" s="316">
        <f t="shared" si="0"/>
        <v>0</v>
      </c>
      <c r="F17" s="316">
        <f t="shared" si="0"/>
        <v>0</v>
      </c>
      <c r="G17" s="316">
        <f t="shared" si="0"/>
        <v>0</v>
      </c>
      <c r="H17" s="316">
        <f t="shared" si="0"/>
        <v>0</v>
      </c>
      <c r="I17" s="278"/>
      <c r="J17" s="408">
        <f>AVERAGE(D75:INDEX(D75:H75,0,MATCH(Data!$B$3,$D$7:$H$7,0)))/AVERAGE($D$96:INDEX($D$96:$H$96,0,MATCH(Data!$B$3,$D$7:$H$7,0)))</f>
        <v>0</v>
      </c>
      <c r="K17" s="408">
        <f t="shared" si="1"/>
        <v>0</v>
      </c>
      <c r="L17" s="505"/>
      <c r="M17" s="505"/>
      <c r="N17" s="256"/>
      <c r="O17" s="256"/>
      <c r="P17" s="256"/>
      <c r="Q17" s="256"/>
      <c r="R17" s="256"/>
      <c r="S17" s="256"/>
      <c r="T17" s="256"/>
      <c r="U17" s="256"/>
      <c r="V17" s="256"/>
      <c r="W17" s="256"/>
    </row>
    <row r="18" spans="1:23">
      <c r="A18" s="342" t="s">
        <v>217</v>
      </c>
      <c r="B18" s="276" t="s">
        <v>114</v>
      </c>
      <c r="C18" s="277" t="s">
        <v>163</v>
      </c>
      <c r="D18" s="316">
        <f t="shared" si="0"/>
        <v>0</v>
      </c>
      <c r="E18" s="316">
        <f t="shared" si="0"/>
        <v>3.3422409890828618E-3</v>
      </c>
      <c r="F18" s="316">
        <f t="shared" si="0"/>
        <v>0</v>
      </c>
      <c r="G18" s="316">
        <f t="shared" si="0"/>
        <v>0</v>
      </c>
      <c r="H18" s="316">
        <f t="shared" si="0"/>
        <v>3.1076655646389666E-3</v>
      </c>
      <c r="I18" s="278"/>
      <c r="J18" s="408">
        <f>AVERAGE(D76:INDEX(D76:H76,0,MATCH(Data!$B$3,$D$7:$H$7,0)))/AVERAGE($D$96:INDEX($D$96:$H$96,0,MATCH(Data!$B$3,$D$7:$H$7,0)))</f>
        <v>0</v>
      </c>
      <c r="K18" s="408">
        <f t="shared" si="1"/>
        <v>1.3023026003844158E-3</v>
      </c>
      <c r="L18" s="505"/>
      <c r="M18" s="505"/>
      <c r="N18" s="256"/>
      <c r="O18" s="256"/>
      <c r="P18" s="256"/>
      <c r="Q18" s="256"/>
      <c r="R18" s="256"/>
      <c r="S18" s="256"/>
      <c r="T18" s="256"/>
      <c r="U18" s="256"/>
      <c r="V18" s="256"/>
      <c r="W18" s="256"/>
    </row>
    <row r="19" spans="1:23">
      <c r="A19" s="342" t="s">
        <v>218</v>
      </c>
      <c r="B19" s="276" t="s">
        <v>115</v>
      </c>
      <c r="C19" s="277" t="s">
        <v>163</v>
      </c>
      <c r="D19" s="316">
        <f t="shared" si="0"/>
        <v>3.4465891594459381E-3</v>
      </c>
      <c r="E19" s="316">
        <f t="shared" si="0"/>
        <v>3.3574329935786924E-3</v>
      </c>
      <c r="F19" s="316">
        <f t="shared" si="0"/>
        <v>3.2614003154173999E-3</v>
      </c>
      <c r="G19" s="316">
        <f t="shared" si="0"/>
        <v>3.1861528116636424E-3</v>
      </c>
      <c r="H19" s="316">
        <f t="shared" si="0"/>
        <v>3.1217913172055071E-3</v>
      </c>
      <c r="I19" s="278"/>
      <c r="J19" s="408">
        <f>AVERAGE(D77:INDEX(D77:H77,0,MATCH(Data!$B$3,$D$7:$H$7,0)))/AVERAGE($D$96:INDEX($D$96:$H$96,0,MATCH(Data!$B$3,$D$7:$H$7,0)))</f>
        <v>3.4465891594459381E-3</v>
      </c>
      <c r="K19" s="408">
        <f t="shared" si="1"/>
        <v>3.2705553941472254E-3</v>
      </c>
      <c r="L19" s="505"/>
      <c r="M19" s="505"/>
      <c r="N19" s="256"/>
      <c r="O19" s="256"/>
      <c r="P19" s="256"/>
      <c r="Q19" s="256"/>
      <c r="R19" s="256"/>
      <c r="S19" s="256"/>
      <c r="T19" s="256"/>
      <c r="U19" s="256"/>
      <c r="V19" s="256"/>
      <c r="W19" s="256"/>
    </row>
    <row r="20" spans="1:23">
      <c r="A20" s="342" t="s">
        <v>230</v>
      </c>
      <c r="B20" s="276" t="s">
        <v>116</v>
      </c>
      <c r="C20" s="277" t="s">
        <v>163</v>
      </c>
      <c r="D20" s="316">
        <f t="shared" si="0"/>
        <v>0</v>
      </c>
      <c r="E20" s="316">
        <f t="shared" si="0"/>
        <v>0</v>
      </c>
      <c r="F20" s="316">
        <f t="shared" si="0"/>
        <v>0</v>
      </c>
      <c r="G20" s="316">
        <f t="shared" si="0"/>
        <v>0</v>
      </c>
      <c r="H20" s="316">
        <f t="shared" si="0"/>
        <v>0</v>
      </c>
      <c r="I20" s="278"/>
      <c r="J20" s="408">
        <f>AVERAGE(D78:INDEX(D78:H78,0,MATCH(Data!$B$3,$D$7:$H$7,0)))/AVERAGE($D$96:INDEX($D$96:$H$96,0,MATCH(Data!$B$3,$D$7:$H$7,0)))</f>
        <v>0</v>
      </c>
      <c r="K20" s="408">
        <f t="shared" si="1"/>
        <v>0</v>
      </c>
      <c r="L20" s="505"/>
      <c r="M20" s="505"/>
      <c r="N20" s="256"/>
      <c r="O20" s="256"/>
      <c r="P20" s="256"/>
      <c r="Q20" s="256"/>
      <c r="R20" s="256"/>
      <c r="S20" s="256"/>
      <c r="T20" s="256"/>
      <c r="U20" s="256"/>
      <c r="V20" s="256"/>
      <c r="W20" s="256"/>
    </row>
    <row r="21" spans="1:23">
      <c r="A21" s="342" t="s">
        <v>219</v>
      </c>
      <c r="B21" s="276" t="s">
        <v>117</v>
      </c>
      <c r="C21" s="277" t="s">
        <v>163</v>
      </c>
      <c r="D21" s="316">
        <f t="shared" ref="D21:H27" si="2">D79/D$96</f>
        <v>5.924312474862107E-4</v>
      </c>
      <c r="E21" s="316">
        <f t="shared" si="2"/>
        <v>5.1918675364503086E-4</v>
      </c>
      <c r="F21" s="316">
        <f t="shared" si="2"/>
        <v>5.6059929629827363E-4</v>
      </c>
      <c r="G21" s="316">
        <f t="shared" si="2"/>
        <v>5.4766506757046433E-4</v>
      </c>
      <c r="H21" s="316">
        <f t="shared" si="2"/>
        <v>5.9045645728140355E-4</v>
      </c>
      <c r="I21" s="278"/>
      <c r="J21" s="408">
        <f>AVERAGE(D79:INDEX(D79:H79,0,MATCH(Data!$B$3,$D$7:$H$7,0)))/AVERAGE($D$96:INDEX($D$96:$H$96,0,MATCH(Data!$B$3,$D$7:$H$7,0)))</f>
        <v>5.924312474862107E-4</v>
      </c>
      <c r="K21" s="408">
        <f t="shared" si="1"/>
        <v>5.621729549102611E-4</v>
      </c>
      <c r="L21" s="505"/>
      <c r="M21" s="505"/>
      <c r="N21" s="256"/>
      <c r="O21" s="256"/>
      <c r="P21" s="256"/>
      <c r="Q21" s="256"/>
      <c r="R21" s="256"/>
      <c r="S21" s="256"/>
      <c r="T21" s="256"/>
      <c r="U21" s="256"/>
      <c r="V21" s="256"/>
      <c r="W21" s="256"/>
    </row>
    <row r="22" spans="1:23">
      <c r="A22" s="342" t="s">
        <v>219</v>
      </c>
      <c r="B22" s="276" t="s">
        <v>118</v>
      </c>
      <c r="C22" s="277" t="s">
        <v>163</v>
      </c>
      <c r="D22" s="316">
        <f t="shared" si="2"/>
        <v>-1.1696569545631012E-4</v>
      </c>
      <c r="E22" s="316">
        <f t="shared" si="2"/>
        <v>-1.1394003371873392E-4</v>
      </c>
      <c r="F22" s="316">
        <f t="shared" si="2"/>
        <v>-1.1068100617932355E-4</v>
      </c>
      <c r="G22" s="316">
        <f t="shared" si="2"/>
        <v>-1.0812735786188833E-4</v>
      </c>
      <c r="H22" s="316">
        <f t="shared" si="2"/>
        <v>-1.0594314424905569E-4</v>
      </c>
      <c r="I22" s="278"/>
      <c r="J22" s="408">
        <f>AVERAGE(D80:INDEX(D80:H80,0,MATCH(Data!$B$3,$D$7:$H$7,0)))/AVERAGE($D$96:INDEX($D$96:$H$96,0,MATCH(Data!$B$3,$D$7:$H$7,0)))</f>
        <v>-1.1696569545631012E-4</v>
      </c>
      <c r="K22" s="408">
        <f t="shared" si="1"/>
        <v>-1.1099169889639907E-4</v>
      </c>
      <c r="L22" s="505"/>
      <c r="M22" s="505"/>
      <c r="N22" s="256"/>
      <c r="O22" s="256"/>
      <c r="P22" s="256"/>
      <c r="Q22" s="256"/>
      <c r="R22" s="256"/>
      <c r="S22" s="256"/>
      <c r="T22" s="256"/>
      <c r="U22" s="256"/>
      <c r="V22" s="256"/>
      <c r="W22" s="256"/>
    </row>
    <row r="23" spans="1:23">
      <c r="A23" s="342" t="s">
        <v>220</v>
      </c>
      <c r="B23" s="276" t="s">
        <v>119</v>
      </c>
      <c r="C23" s="277" t="s">
        <v>163</v>
      </c>
      <c r="D23" s="316">
        <f t="shared" si="2"/>
        <v>-1.1696569545631012E-4</v>
      </c>
      <c r="E23" s="316">
        <f t="shared" si="2"/>
        <v>0</v>
      </c>
      <c r="F23" s="316">
        <f t="shared" si="2"/>
        <v>0</v>
      </c>
      <c r="G23" s="316">
        <f t="shared" si="2"/>
        <v>0</v>
      </c>
      <c r="H23" s="316">
        <f t="shared" si="2"/>
        <v>0</v>
      </c>
      <c r="I23" s="278"/>
      <c r="J23" s="408">
        <f>AVERAGE(D81:INDEX(D81:H81,0,MATCH(Data!$B$3,$D$7:$H$7,0)))/AVERAGE($D$96:INDEX($D$96:$H$96,0,MATCH(Data!$B$3,$D$7:$H$7,0)))</f>
        <v>-1.1696569545631012E-4</v>
      </c>
      <c r="K23" s="408">
        <f t="shared" si="1"/>
        <v>-2.2198339779279816E-5</v>
      </c>
      <c r="L23" s="505"/>
      <c r="M23" s="505"/>
      <c r="N23" s="256"/>
      <c r="O23" s="256"/>
      <c r="P23" s="256"/>
      <c r="Q23" s="256"/>
      <c r="R23" s="256"/>
      <c r="S23" s="256"/>
      <c r="T23" s="256"/>
      <c r="U23" s="256"/>
      <c r="V23" s="256"/>
      <c r="W23" s="256"/>
    </row>
    <row r="24" spans="1:23">
      <c r="A24" s="342" t="s">
        <v>221</v>
      </c>
      <c r="B24" s="276" t="s">
        <v>120</v>
      </c>
      <c r="C24" s="277" t="s">
        <v>163</v>
      </c>
      <c r="D24" s="316">
        <f t="shared" si="2"/>
        <v>-1.1696569545631012E-4</v>
      </c>
      <c r="E24" s="316">
        <f t="shared" si="2"/>
        <v>-1.1394003371873392E-4</v>
      </c>
      <c r="F24" s="316">
        <f t="shared" si="2"/>
        <v>-1.1068100617932355E-4</v>
      </c>
      <c r="G24" s="316">
        <f t="shared" si="2"/>
        <v>-1.0812735786188833E-4</v>
      </c>
      <c r="H24" s="316">
        <f t="shared" si="2"/>
        <v>-1.0594314424905569E-4</v>
      </c>
      <c r="I24" s="278"/>
      <c r="J24" s="408">
        <f>AVERAGE(D82:INDEX(D82:H82,0,MATCH(Data!$B$3,$D$7:$H$7,0)))/AVERAGE($D$96:INDEX($D$96:$H$96,0,MATCH(Data!$B$3,$D$7:$H$7,0)))</f>
        <v>-1.1696569545631012E-4</v>
      </c>
      <c r="K24" s="408">
        <f t="shared" si="1"/>
        <v>-1.1099169889639907E-4</v>
      </c>
      <c r="L24" s="505"/>
      <c r="M24" s="505"/>
      <c r="N24" s="256"/>
      <c r="O24" s="256"/>
      <c r="P24" s="256"/>
      <c r="Q24" s="256"/>
      <c r="R24" s="256"/>
      <c r="S24" s="256"/>
      <c r="T24" s="256"/>
      <c r="U24" s="256"/>
      <c r="V24" s="256"/>
      <c r="W24" s="256"/>
    </row>
    <row r="25" spans="1:23">
      <c r="A25" s="342" t="s">
        <v>222</v>
      </c>
      <c r="B25" s="276">
        <v>0</v>
      </c>
      <c r="C25" s="277" t="s">
        <v>163</v>
      </c>
      <c r="D25" s="316">
        <f t="shared" si="2"/>
        <v>0</v>
      </c>
      <c r="E25" s="316">
        <f t="shared" si="2"/>
        <v>0</v>
      </c>
      <c r="F25" s="316">
        <f t="shared" si="2"/>
        <v>0</v>
      </c>
      <c r="G25" s="316">
        <f t="shared" si="2"/>
        <v>0</v>
      </c>
      <c r="H25" s="316">
        <f t="shared" si="2"/>
        <v>0</v>
      </c>
      <c r="I25" s="278"/>
      <c r="J25" s="408">
        <f>AVERAGE(D83:INDEX(D83:H83,0,MATCH(Data!$B$3,$D$7:$H$7,0)))/AVERAGE($D$96:INDEX($D$96:$H$96,0,MATCH(Data!$B$3,$D$7:$H$7,0)))</f>
        <v>0</v>
      </c>
      <c r="K25" s="408">
        <f t="shared" si="1"/>
        <v>0</v>
      </c>
      <c r="L25" s="505"/>
      <c r="M25" s="505"/>
      <c r="N25" s="256"/>
      <c r="O25" s="256"/>
      <c r="P25" s="256"/>
      <c r="Q25" s="256"/>
      <c r="R25" s="256"/>
      <c r="S25" s="256"/>
      <c r="T25" s="256"/>
      <c r="U25" s="256"/>
      <c r="V25" s="256"/>
      <c r="W25" s="256"/>
    </row>
    <row r="26" spans="1:23">
      <c r="A26" s="342" t="s">
        <v>223</v>
      </c>
      <c r="B26" s="276">
        <v>0</v>
      </c>
      <c r="C26" s="277" t="s">
        <v>163</v>
      </c>
      <c r="D26" s="316">
        <f t="shared" si="2"/>
        <v>0</v>
      </c>
      <c r="E26" s="316">
        <f t="shared" si="2"/>
        <v>0</v>
      </c>
      <c r="F26" s="316">
        <f t="shared" si="2"/>
        <v>0</v>
      </c>
      <c r="G26" s="316">
        <f t="shared" si="2"/>
        <v>0</v>
      </c>
      <c r="H26" s="316">
        <f t="shared" si="2"/>
        <v>0</v>
      </c>
      <c r="I26" s="278"/>
      <c r="J26" s="408">
        <f>AVERAGE(D84:INDEX(D84:H84,0,MATCH(Data!$B$3,$D$7:$H$7,0)))/AVERAGE($D$96:INDEX($D$96:$H$96,0,MATCH(Data!$B$3,$D$7:$H$7,0)))</f>
        <v>0</v>
      </c>
      <c r="K26" s="408">
        <f t="shared" si="1"/>
        <v>0</v>
      </c>
      <c r="L26" s="505"/>
      <c r="M26" s="505"/>
      <c r="N26" s="256"/>
      <c r="O26" s="256"/>
      <c r="P26" s="256"/>
      <c r="Q26" s="256"/>
      <c r="R26" s="256"/>
      <c r="S26" s="256"/>
      <c r="T26" s="256"/>
      <c r="U26" s="256"/>
      <c r="V26" s="256"/>
      <c r="W26" s="256"/>
    </row>
    <row r="27" spans="1:23">
      <c r="A27" s="342" t="s">
        <v>224</v>
      </c>
      <c r="B27" s="276">
        <v>0</v>
      </c>
      <c r="C27" s="277" t="s">
        <v>163</v>
      </c>
      <c r="D27" s="316">
        <f t="shared" si="2"/>
        <v>0</v>
      </c>
      <c r="E27" s="316">
        <f t="shared" si="2"/>
        <v>0</v>
      </c>
      <c r="F27" s="316">
        <f t="shared" si="2"/>
        <v>0</v>
      </c>
      <c r="G27" s="316">
        <f t="shared" si="2"/>
        <v>0</v>
      </c>
      <c r="H27" s="316">
        <f t="shared" si="2"/>
        <v>0</v>
      </c>
      <c r="I27" s="278"/>
      <c r="J27" s="408">
        <f>AVERAGE(D85:INDEX(D85:H85,0,MATCH(Data!$B$3,$D$7:$H$7,0)))/AVERAGE($D$96:INDEX($D$96:$H$96,0,MATCH(Data!$B$3,$D$7:$H$7,0)))</f>
        <v>0</v>
      </c>
      <c r="K27" s="408">
        <f t="shared" si="1"/>
        <v>0</v>
      </c>
      <c r="L27" s="505"/>
      <c r="M27" s="505"/>
      <c r="N27" s="256"/>
      <c r="O27" s="256"/>
      <c r="P27" s="256"/>
      <c r="Q27" s="256"/>
      <c r="R27" s="256"/>
      <c r="S27" s="256"/>
      <c r="T27" s="256"/>
      <c r="U27" s="256"/>
      <c r="V27" s="256"/>
      <c r="W27" s="256"/>
    </row>
    <row r="28" spans="1:23">
      <c r="A28" s="342" t="s">
        <v>225</v>
      </c>
      <c r="B28" s="276">
        <v>0</v>
      </c>
      <c r="C28" s="277" t="s">
        <v>163</v>
      </c>
      <c r="D28" s="316">
        <f>D88/D$96</f>
        <v>-3.6168193118796157E-4</v>
      </c>
      <c r="E28" s="316">
        <f>E88/E$96</f>
        <v>0</v>
      </c>
      <c r="F28" s="316">
        <f>F88/F$96</f>
        <v>0</v>
      </c>
      <c r="G28" s="316">
        <f>G88/G$96</f>
        <v>0</v>
      </c>
      <c r="H28" s="316">
        <f>H88/H$96</f>
        <v>0</v>
      </c>
      <c r="I28" s="278"/>
      <c r="J28" s="408">
        <f>AVERAGE(D88:INDEX(D88:H88,0,MATCH(Data!$B$3,$D$7:$H$7,0)))/AVERAGE($D$96:INDEX($D$96:$H$96,0,MATCH(Data!$B$3,$D$7:$H$7,0)))</f>
        <v>-3.6168193118796157E-4</v>
      </c>
      <c r="K28" s="408">
        <f>AVERAGE(D88:H88)/AVERAGE($D$96:$H$96)</f>
        <v>-6.864182159747363E-5</v>
      </c>
      <c r="L28" s="256"/>
      <c r="M28" s="256"/>
      <c r="N28" s="256"/>
      <c r="O28" s="256"/>
      <c r="P28" s="256"/>
      <c r="Q28" s="256"/>
      <c r="R28" s="256"/>
      <c r="S28" s="256"/>
      <c r="T28" s="256"/>
      <c r="U28" s="256"/>
      <c r="V28" s="256"/>
      <c r="W28" s="256"/>
    </row>
    <row r="29" spans="1:23">
      <c r="A29" s="342" t="s">
        <v>226</v>
      </c>
      <c r="B29" s="276" t="s">
        <v>121</v>
      </c>
      <c r="C29" s="277" t="s">
        <v>163</v>
      </c>
      <c r="D29" s="316">
        <f>D88/D$96</f>
        <v>-3.6168193118796157E-4</v>
      </c>
      <c r="E29" s="316">
        <f>E88/E$96</f>
        <v>0</v>
      </c>
      <c r="F29" s="316">
        <f>F88/F$96</f>
        <v>0</v>
      </c>
      <c r="G29" s="316">
        <f>G88/G$96</f>
        <v>0</v>
      </c>
      <c r="H29" s="316">
        <f>H88/H$96</f>
        <v>0</v>
      </c>
      <c r="I29" s="278"/>
      <c r="J29" s="408">
        <f>AVERAGE(D88:INDEX(D88:H88,0,MATCH(Data!$B$3,$D$7:$H$7,0)))/AVERAGE($D$96:INDEX($D$96:$H$96,0,MATCH(Data!$B$3,$D$7:$H$7,0)))</f>
        <v>-3.6168193118796157E-4</v>
      </c>
      <c r="K29" s="408">
        <f>AVERAGE(D88:H88)/AVERAGE($D$96:$H$96)</f>
        <v>-6.864182159747363E-5</v>
      </c>
      <c r="L29" s="505"/>
      <c r="M29" s="505"/>
      <c r="N29" s="256"/>
      <c r="O29" s="256"/>
      <c r="P29" s="256"/>
      <c r="Q29" s="256"/>
      <c r="R29" s="256"/>
      <c r="S29" s="256"/>
      <c r="T29" s="256"/>
      <c r="U29" s="256"/>
      <c r="V29" s="256"/>
      <c r="W29" s="256"/>
    </row>
    <row r="30" spans="1:23">
      <c r="A30" s="342"/>
      <c r="B30" s="279" t="s">
        <v>122</v>
      </c>
      <c r="C30" s="281" t="s">
        <v>163</v>
      </c>
      <c r="D30" s="324">
        <f>SUM(D11:D29)</f>
        <v>8.6422856383466196E-2</v>
      </c>
      <c r="E30" s="324">
        <f t="shared" ref="E30:H30" si="3">SUM(E11:E29)</f>
        <v>9.2904717077731153E-2</v>
      </c>
      <c r="F30" s="324">
        <f t="shared" si="3"/>
        <v>6.9338990190332642E-2</v>
      </c>
      <c r="G30" s="324">
        <f t="shared" si="3"/>
        <v>7.0508934706013868E-2</v>
      </c>
      <c r="H30" s="324">
        <f t="shared" si="3"/>
        <v>7.5363263861996363E-2</v>
      </c>
      <c r="I30" s="287"/>
      <c r="J30" s="152">
        <f>SUM(J11:J29)</f>
        <v>8.6422856383466196E-2</v>
      </c>
      <c r="K30" s="152">
        <f>SUM(K11:K29)</f>
        <v>7.8674897173331496E-2</v>
      </c>
      <c r="L30" s="505"/>
      <c r="M30" s="505"/>
      <c r="N30" s="256"/>
      <c r="O30" s="256"/>
      <c r="P30" s="256"/>
      <c r="Q30" s="256"/>
      <c r="R30" s="256"/>
      <c r="S30" s="256"/>
      <c r="T30" s="256"/>
      <c r="U30" s="256"/>
      <c r="V30" s="256"/>
      <c r="W30" s="256"/>
    </row>
    <row r="31" spans="1:23">
      <c r="A31" s="342"/>
      <c r="B31" s="276" t="s">
        <v>123</v>
      </c>
      <c r="C31" s="277" t="s">
        <v>163</v>
      </c>
      <c r="D31" s="282">
        <f>(D90)/D$96</f>
        <v>7.4327744873862886E-2</v>
      </c>
      <c r="E31" s="283">
        <f t="shared" ref="E31:H31" si="4">(E90)/E$96</f>
        <v>1.618331206978945E-2</v>
      </c>
      <c r="F31" s="283">
        <f t="shared" si="4"/>
        <v>1.709577833992224E-4</v>
      </c>
      <c r="G31" s="283">
        <f t="shared" si="4"/>
        <v>1.8889686501145826E-3</v>
      </c>
      <c r="H31" s="283">
        <f t="shared" si="4"/>
        <v>4.3720820568180644E-3</v>
      </c>
      <c r="I31" s="194"/>
      <c r="J31" s="408">
        <f>AVERAGE(D90:INDEX(D90:H90,0,MATCH(Data!$B$3,$D$7:$H$7,0)))/AVERAGE($D$96:INDEX($D$96:$H$96,0,MATCH(Data!$B$3,$D$7:$H$7,0)))</f>
        <v>7.4327744873862886E-2</v>
      </c>
      <c r="K31" s="407">
        <f>AVERAGE(D90:H90)/AVERAGE($D$96:$H$96)</f>
        <v>1.8597378849193397E-2</v>
      </c>
      <c r="L31" s="505"/>
      <c r="M31" s="505"/>
      <c r="N31" s="256"/>
      <c r="O31" s="256"/>
      <c r="P31" s="256"/>
      <c r="Q31" s="256"/>
      <c r="R31" s="256"/>
      <c r="S31" s="256"/>
      <c r="T31" s="256"/>
      <c r="U31" s="256"/>
      <c r="V31" s="256"/>
      <c r="W31" s="256"/>
    </row>
    <row r="32" spans="1:23">
      <c r="A32" s="342"/>
      <c r="B32" s="276" t="s">
        <v>124</v>
      </c>
      <c r="C32" s="277" t="s">
        <v>163</v>
      </c>
      <c r="D32" s="282">
        <f>(D92)/D$96</f>
        <v>-7.4683005496952119E-3</v>
      </c>
      <c r="E32" s="283">
        <f t="shared" ref="E32:H32" si="5">(E92)/E$96</f>
        <v>7.9671981775378646E-3</v>
      </c>
      <c r="F32" s="283">
        <f t="shared" si="5"/>
        <v>-6.590004017466229E-3</v>
      </c>
      <c r="G32" s="283">
        <f t="shared" si="5"/>
        <v>8.2430109017203306E-3</v>
      </c>
      <c r="H32" s="283">
        <f t="shared" si="5"/>
        <v>5.72215646902714E-3</v>
      </c>
      <c r="I32" s="194"/>
      <c r="J32" s="408">
        <f>AVERAGE(D92:INDEX(D92:H92,0,MATCH(Data!$B$3,$D$7:$H$7,0)))/AVERAGE($D$96:INDEX($D$96:$H$96,0,MATCH(Data!$B$3,$D$7:$H$7,0)))</f>
        <v>-7.4683005496952119E-3</v>
      </c>
      <c r="K32" s="407">
        <f>AVERAGE(D92:H92)/AVERAGE($D$96:$H$96)</f>
        <v>1.7043769050034765E-3</v>
      </c>
      <c r="L32" s="505"/>
      <c r="M32" s="505"/>
      <c r="N32" s="256"/>
      <c r="O32" s="256"/>
      <c r="P32" s="256"/>
      <c r="Q32" s="256"/>
      <c r="R32" s="256"/>
      <c r="S32" s="256"/>
      <c r="T32" s="256"/>
      <c r="U32" s="256"/>
      <c r="V32" s="256"/>
      <c r="W32" s="256"/>
    </row>
    <row r="33" spans="1:23">
      <c r="A33" s="342"/>
      <c r="B33" s="279" t="s">
        <v>125</v>
      </c>
      <c r="C33" s="281" t="s">
        <v>163</v>
      </c>
      <c r="D33" s="151">
        <f>SUM(D30:D32)</f>
        <v>0.15328230070763388</v>
      </c>
      <c r="E33" s="325">
        <f t="shared" ref="E33:H33" si="6">SUM(E30:E32)</f>
        <v>0.11705522732505848</v>
      </c>
      <c r="F33" s="325">
        <f t="shared" si="6"/>
        <v>6.2919943956265628E-2</v>
      </c>
      <c r="G33" s="325">
        <f t="shared" si="6"/>
        <v>8.0640914257848778E-2</v>
      </c>
      <c r="H33" s="325">
        <f t="shared" si="6"/>
        <v>8.5457502387841569E-2</v>
      </c>
      <c r="I33" s="287"/>
      <c r="J33" s="152">
        <f>SUM(J30:J32)</f>
        <v>0.15328230070763388</v>
      </c>
      <c r="K33" s="152">
        <f>SUM(K30:K32)</f>
        <v>9.8976652927528372E-2</v>
      </c>
      <c r="L33" s="505"/>
      <c r="M33" s="505"/>
      <c r="N33" s="256"/>
      <c r="O33" s="256"/>
      <c r="P33" s="256"/>
      <c r="Q33" s="256"/>
      <c r="R33" s="256"/>
      <c r="S33" s="256"/>
      <c r="T33" s="256"/>
      <c r="U33" s="256"/>
      <c r="V33" s="256"/>
      <c r="W33" s="256"/>
    </row>
    <row r="34" spans="1:23">
      <c r="A34" s="342"/>
      <c r="B34" s="265"/>
      <c r="C34" s="256"/>
      <c r="D34" s="278"/>
      <c r="E34" s="278"/>
      <c r="F34" s="278"/>
      <c r="G34" s="278"/>
      <c r="H34" s="278"/>
      <c r="I34" s="278"/>
      <c r="J34" s="278"/>
      <c r="K34" s="278"/>
      <c r="L34" s="505"/>
      <c r="M34" s="505"/>
      <c r="N34" s="256"/>
      <c r="O34" s="256"/>
      <c r="P34" s="256"/>
      <c r="Q34" s="256"/>
      <c r="R34" s="256"/>
      <c r="S34" s="256"/>
      <c r="T34" s="256"/>
      <c r="U34" s="256"/>
      <c r="V34" s="256"/>
      <c r="W34" s="256"/>
    </row>
    <row r="35" spans="1:23">
      <c r="A35" s="342"/>
      <c r="B35" s="265"/>
      <c r="C35" s="256"/>
      <c r="D35" s="278"/>
      <c r="E35" s="278"/>
      <c r="F35" s="278"/>
      <c r="G35" s="278"/>
      <c r="H35" s="278"/>
      <c r="I35" s="518"/>
      <c r="J35" s="518"/>
      <c r="K35" s="278"/>
      <c r="L35" s="505"/>
      <c r="M35" s="505"/>
      <c r="N35" s="256"/>
      <c r="O35" s="256"/>
      <c r="P35" s="256"/>
      <c r="Q35" s="256"/>
      <c r="R35" s="256"/>
      <c r="S35" s="256"/>
      <c r="T35" s="256"/>
      <c r="U35" s="256"/>
      <c r="V35" s="256"/>
      <c r="W35" s="256"/>
    </row>
    <row r="36" spans="1:23">
      <c r="A36" s="342"/>
      <c r="B36" s="265"/>
      <c r="C36" s="256"/>
      <c r="D36" s="278"/>
      <c r="E36" s="278"/>
      <c r="F36" s="278"/>
      <c r="G36" s="278"/>
      <c r="H36" s="278"/>
      <c r="I36" s="518"/>
      <c r="J36" s="518"/>
      <c r="K36" s="278"/>
      <c r="L36" s="505"/>
      <c r="M36" s="505"/>
      <c r="N36" s="256"/>
      <c r="O36" s="256"/>
      <c r="P36" s="256"/>
      <c r="Q36" s="256"/>
      <c r="R36" s="256"/>
      <c r="S36" s="256"/>
      <c r="T36" s="256"/>
      <c r="U36" s="256"/>
      <c r="V36" s="256"/>
      <c r="W36" s="256"/>
    </row>
    <row r="37" spans="1:23">
      <c r="A37" s="342"/>
      <c r="B37" s="265"/>
      <c r="C37" s="256"/>
      <c r="D37" s="278"/>
      <c r="E37" s="278"/>
      <c r="F37" s="278"/>
      <c r="G37" s="278"/>
      <c r="H37" s="278"/>
      <c r="I37" s="278"/>
      <c r="J37" s="278"/>
      <c r="K37" s="278"/>
      <c r="L37" s="256"/>
      <c r="M37" s="256"/>
      <c r="N37" s="256"/>
      <c r="O37" s="256"/>
      <c r="P37" s="256"/>
      <c r="Q37" s="256"/>
      <c r="R37" s="256"/>
      <c r="S37" s="256"/>
      <c r="T37" s="256"/>
      <c r="U37" s="256"/>
      <c r="V37" s="256"/>
      <c r="W37" s="256"/>
    </row>
    <row r="38" spans="1:23">
      <c r="A38" s="342"/>
      <c r="B38" s="273" t="s">
        <v>57</v>
      </c>
      <c r="C38" s="274"/>
      <c r="D38" s="320"/>
      <c r="E38" s="320"/>
      <c r="F38" s="320"/>
      <c r="G38" s="320"/>
      <c r="H38" s="320"/>
      <c r="I38" s="519"/>
      <c r="J38" s="519"/>
      <c r="K38" s="320"/>
      <c r="L38" s="513"/>
      <c r="M38" s="513"/>
      <c r="N38" s="256"/>
      <c r="O38" s="256"/>
      <c r="P38" s="256"/>
      <c r="Q38" s="256"/>
      <c r="R38" s="256"/>
      <c r="S38" s="256"/>
      <c r="T38" s="256"/>
      <c r="U38" s="256"/>
      <c r="V38" s="256"/>
      <c r="W38" s="256"/>
    </row>
    <row r="39" spans="1:23">
      <c r="A39" s="342"/>
      <c r="B39" s="275"/>
      <c r="C39" s="256"/>
      <c r="D39" s="278"/>
      <c r="E39" s="278"/>
      <c r="F39" s="278"/>
      <c r="G39" s="278"/>
      <c r="H39" s="278"/>
      <c r="I39" s="515"/>
      <c r="J39" s="515"/>
      <c r="K39" s="278"/>
      <c r="L39" s="505"/>
      <c r="M39" s="505"/>
      <c r="N39" s="256"/>
      <c r="O39" s="256"/>
      <c r="P39" s="256"/>
      <c r="Q39" s="256"/>
      <c r="R39" s="256"/>
      <c r="S39" s="256"/>
      <c r="T39" s="256"/>
      <c r="U39" s="256"/>
      <c r="V39" s="256"/>
      <c r="W39" s="256"/>
    </row>
    <row r="40" spans="1:23">
      <c r="A40" s="342"/>
      <c r="B40" s="276" t="s">
        <v>107</v>
      </c>
      <c r="C40" s="277" t="s">
        <v>163</v>
      </c>
      <c r="D40" s="282">
        <f t="shared" ref="D40:H49" si="7">D69/D$97</f>
        <v>4.761933410821588E-2</v>
      </c>
      <c r="E40" s="283">
        <f t="shared" si="7"/>
        <v>5.0502087054834138E-2</v>
      </c>
      <c r="F40" s="283">
        <f t="shared" si="7"/>
        <v>5.2581318414436327E-2</v>
      </c>
      <c r="G40" s="283">
        <f t="shared" si="7"/>
        <v>5.6363986444504452E-2</v>
      </c>
      <c r="H40" s="283">
        <f t="shared" si="7"/>
        <v>5.7196458980497009E-2</v>
      </c>
      <c r="I40" s="194"/>
      <c r="J40" s="407">
        <f>AVERAGE(D69:INDEX(D69:H69,0,MATCH(Data!$B$3,$D$7:$H$7,0)))/AVERAGE($D$97:INDEX($D$97:$H$97,0,MATCH(Data!$B$3,$D$7:$H$7,0)))</f>
        <v>4.761933410821588E-2</v>
      </c>
      <c r="K40" s="407">
        <f t="shared" ref="K40:K56" si="8">AVERAGE(D69:H69)/AVERAGE($D$97:$H$97)</f>
        <v>5.2780409825936549E-2</v>
      </c>
      <c r="L40" s="505"/>
      <c r="M40" s="505"/>
      <c r="N40" s="256"/>
      <c r="O40" s="256"/>
      <c r="P40" s="256"/>
      <c r="Q40" s="256"/>
      <c r="R40" s="256"/>
      <c r="S40" s="256"/>
      <c r="T40" s="256"/>
      <c r="U40" s="256"/>
      <c r="V40" s="256"/>
      <c r="W40" s="256"/>
    </row>
    <row r="41" spans="1:23">
      <c r="A41" s="342"/>
      <c r="B41" s="276" t="s">
        <v>108</v>
      </c>
      <c r="C41" s="277" t="s">
        <v>163</v>
      </c>
      <c r="D41" s="282">
        <f t="shared" si="7"/>
        <v>2.4509900721280412E-2</v>
      </c>
      <c r="E41" s="283">
        <f t="shared" si="7"/>
        <v>2.1724252519494294E-2</v>
      </c>
      <c r="F41" s="283">
        <f t="shared" si="7"/>
        <v>3.6973766052218601E-3</v>
      </c>
      <c r="G41" s="283">
        <f t="shared" si="7"/>
        <v>4.8971837657965644E-3</v>
      </c>
      <c r="H41" s="283">
        <f t="shared" si="7"/>
        <v>6.3895294596785501E-3</v>
      </c>
      <c r="I41" s="194"/>
      <c r="J41" s="407">
        <f>AVERAGE(D70:INDEX(D70:H70,0,MATCH(Data!$B$3,$D$7:$H$7,0)))/AVERAGE($D$97:INDEX($D$97:$H$97,0,MATCH(Data!$B$3,$D$7:$H$7,0)))</f>
        <v>2.4509900721280412E-2</v>
      </c>
      <c r="K41" s="407">
        <f t="shared" si="8"/>
        <v>1.239494280112512E-2</v>
      </c>
      <c r="L41" s="505"/>
      <c r="M41" s="505"/>
      <c r="N41" s="256"/>
      <c r="O41" s="256"/>
      <c r="P41" s="256"/>
      <c r="Q41" s="256"/>
      <c r="R41" s="256"/>
      <c r="S41" s="256"/>
      <c r="T41" s="256"/>
      <c r="U41" s="256"/>
      <c r="V41" s="256"/>
      <c r="W41" s="256"/>
    </row>
    <row r="42" spans="1:23">
      <c r="A42" s="342" t="s">
        <v>212</v>
      </c>
      <c r="B42" s="276" t="s">
        <v>109</v>
      </c>
      <c r="C42" s="277" t="s">
        <v>163</v>
      </c>
      <c r="D42" s="282">
        <f t="shared" si="7"/>
        <v>1.7901121199545094E-3</v>
      </c>
      <c r="E42" s="283">
        <f t="shared" si="7"/>
        <v>1.7487028299494581E-3</v>
      </c>
      <c r="F42" s="283">
        <f t="shared" si="7"/>
        <v>1.7910607062273406E-3</v>
      </c>
      <c r="G42" s="283">
        <f t="shared" si="7"/>
        <v>1.8707015724903073E-3</v>
      </c>
      <c r="H42" s="283">
        <f t="shared" si="7"/>
        <v>1.8543201174476334E-3</v>
      </c>
      <c r="I42" s="194"/>
      <c r="J42" s="407">
        <f>AVERAGE(D71:INDEX(D71:H71,0,MATCH(Data!$B$3,$D$7:$H$7,0)))/AVERAGE($D$97:INDEX($D$97:$H$97,0,MATCH(Data!$B$3,$D$7:$H$7,0)))</f>
        <v>1.7901121199545094E-3</v>
      </c>
      <c r="K42" s="407">
        <f t="shared" si="8"/>
        <v>1.8098597117066461E-3</v>
      </c>
      <c r="L42" s="505"/>
      <c r="M42" s="505"/>
      <c r="N42" s="256"/>
      <c r="O42" s="256"/>
      <c r="P42" s="256"/>
      <c r="Q42" s="256"/>
      <c r="R42" s="256"/>
      <c r="S42" s="256"/>
      <c r="T42" s="256"/>
      <c r="U42" s="256"/>
      <c r="V42" s="256"/>
      <c r="W42" s="256"/>
    </row>
    <row r="43" spans="1:23">
      <c r="A43" s="342" t="s">
        <v>213</v>
      </c>
      <c r="B43" s="276" t="s">
        <v>110</v>
      </c>
      <c r="C43" s="277" t="s">
        <v>163</v>
      </c>
      <c r="D43" s="282">
        <f t="shared" si="7"/>
        <v>5.6165212707342594E-4</v>
      </c>
      <c r="E43" s="283">
        <f t="shared" si="7"/>
        <v>5.3008705745815363E-4</v>
      </c>
      <c r="F43" s="283">
        <f t="shared" si="7"/>
        <v>5.558079517773483E-4</v>
      </c>
      <c r="G43" s="283">
        <f t="shared" si="7"/>
        <v>5.9315963735129945E-4</v>
      </c>
      <c r="H43" s="283">
        <f t="shared" si="7"/>
        <v>6.1915156243292323E-4</v>
      </c>
      <c r="I43" s="194"/>
      <c r="J43" s="407">
        <f>AVERAGE(D72:INDEX(D72:H72,0,MATCH(Data!$B$3,$D$7:$H$7,0)))/AVERAGE($D$97:INDEX($D$97:$H$97,0,MATCH(Data!$B$3,$D$7:$H$7,0)))</f>
        <v>5.6165212707342594E-4</v>
      </c>
      <c r="K43" s="407">
        <f t="shared" si="8"/>
        <v>5.71257939749945E-4</v>
      </c>
      <c r="L43" s="505"/>
      <c r="M43" s="505"/>
      <c r="N43" s="256"/>
      <c r="O43" s="256"/>
      <c r="P43" s="256"/>
      <c r="Q43" s="256"/>
      <c r="R43" s="256"/>
      <c r="S43" s="256"/>
      <c r="T43" s="256"/>
      <c r="U43" s="256"/>
      <c r="V43" s="256"/>
      <c r="W43" s="256"/>
    </row>
    <row r="44" spans="1:23">
      <c r="A44" s="342" t="s">
        <v>214</v>
      </c>
      <c r="B44" s="276" t="s">
        <v>111</v>
      </c>
      <c r="C44" s="277" t="s">
        <v>163</v>
      </c>
      <c r="D44" s="282">
        <f t="shared" si="7"/>
        <v>2.8431667954269069E-3</v>
      </c>
      <c r="E44" s="283">
        <f t="shared" si="7"/>
        <v>2.7773979996893769E-3</v>
      </c>
      <c r="F44" s="283">
        <f t="shared" si="7"/>
        <v>2.8446733988197605E-3</v>
      </c>
      <c r="G44" s="283">
        <f t="shared" si="7"/>
        <v>2.9711639487656804E-3</v>
      </c>
      <c r="H44" s="283">
        <f t="shared" si="7"/>
        <v>2.9451459085999654E-3</v>
      </c>
      <c r="I44" s="194"/>
      <c r="J44" s="407">
        <f>AVERAGE(D73:INDEX(D73:H73,0,MATCH(Data!$B$3,$D$7:$H$7,0)))/AVERAGE($D$97:INDEX($D$97:$H$97,0,MATCH(Data!$B$3,$D$7:$H$7,0)))</f>
        <v>2.8431667954269069E-3</v>
      </c>
      <c r="K44" s="407">
        <f t="shared" si="8"/>
        <v>2.8745311421253411E-3</v>
      </c>
      <c r="L44" s="505"/>
      <c r="M44" s="505"/>
      <c r="N44" s="256"/>
      <c r="O44" s="256"/>
      <c r="P44" s="256"/>
      <c r="Q44" s="256"/>
      <c r="R44" s="256"/>
      <c r="S44" s="256"/>
      <c r="T44" s="256"/>
      <c r="U44" s="256"/>
      <c r="V44" s="256"/>
      <c r="W44" s="256"/>
    </row>
    <row r="45" spans="1:23">
      <c r="A45" s="342" t="s">
        <v>215</v>
      </c>
      <c r="B45" s="276" t="s">
        <v>112</v>
      </c>
      <c r="C45" s="277" t="s">
        <v>163</v>
      </c>
      <c r="D45" s="282">
        <f t="shared" si="7"/>
        <v>-2.1032245483066127E-3</v>
      </c>
      <c r="E45" s="283">
        <f t="shared" si="7"/>
        <v>3.6914915349241017E-4</v>
      </c>
      <c r="F45" s="283">
        <f t="shared" si="7"/>
        <v>1.1773841123225339E-3</v>
      </c>
      <c r="G45" s="283">
        <f t="shared" si="7"/>
        <v>1.5591000556818356E-3</v>
      </c>
      <c r="H45" s="283">
        <f t="shared" si="7"/>
        <v>1.8660079354112626E-3</v>
      </c>
      <c r="I45" s="194"/>
      <c r="J45" s="407">
        <f>AVERAGE(D74:INDEX(D74:H74,0,MATCH(Data!$B$3,$D$7:$H$7,0)))/AVERAGE($D$97:INDEX($D$97:$H$97,0,MATCH(Data!$B$3,$D$7:$H$7,0)))</f>
        <v>-2.1032245483066127E-3</v>
      </c>
      <c r="K45" s="407">
        <f t="shared" si="8"/>
        <v>5.5500698029120707E-4</v>
      </c>
      <c r="L45" s="505"/>
      <c r="M45" s="505"/>
      <c r="N45" s="256"/>
      <c r="O45" s="256"/>
      <c r="P45" s="256"/>
      <c r="Q45" s="256"/>
      <c r="R45" s="256"/>
      <c r="S45" s="256"/>
      <c r="T45" s="256"/>
      <c r="U45" s="256"/>
      <c r="V45" s="256"/>
      <c r="W45" s="256"/>
    </row>
    <row r="46" spans="1:23">
      <c r="A46" s="342" t="s">
        <v>216</v>
      </c>
      <c r="B46" s="276" t="s">
        <v>113</v>
      </c>
      <c r="C46" s="277" t="s">
        <v>163</v>
      </c>
      <c r="D46" s="282">
        <f t="shared" si="7"/>
        <v>0</v>
      </c>
      <c r="E46" s="283">
        <f t="shared" si="7"/>
        <v>0</v>
      </c>
      <c r="F46" s="283">
        <f t="shared" si="7"/>
        <v>0</v>
      </c>
      <c r="G46" s="283">
        <f t="shared" si="7"/>
        <v>0</v>
      </c>
      <c r="H46" s="283">
        <f t="shared" si="7"/>
        <v>0</v>
      </c>
      <c r="I46" s="194"/>
      <c r="J46" s="407">
        <f>AVERAGE(D75:INDEX(D75:H75,0,MATCH(Data!$B$3,$D$7:$H$7,0)))/AVERAGE($D$97:INDEX($D$97:$H$97,0,MATCH(Data!$B$3,$D$7:$H$7,0)))</f>
        <v>0</v>
      </c>
      <c r="K46" s="407">
        <f t="shared" si="8"/>
        <v>0</v>
      </c>
      <c r="L46" s="505"/>
      <c r="M46" s="505"/>
      <c r="N46" s="256"/>
      <c r="O46" s="256"/>
      <c r="P46" s="256"/>
      <c r="Q46" s="256"/>
      <c r="R46" s="256"/>
      <c r="S46" s="256"/>
      <c r="T46" s="256"/>
      <c r="U46" s="256"/>
      <c r="V46" s="256"/>
      <c r="W46" s="256"/>
    </row>
    <row r="47" spans="1:23">
      <c r="A47" s="342" t="s">
        <v>217</v>
      </c>
      <c r="B47" s="276" t="s">
        <v>114</v>
      </c>
      <c r="C47" s="277" t="s">
        <v>163</v>
      </c>
      <c r="D47" s="282">
        <f t="shared" si="7"/>
        <v>0</v>
      </c>
      <c r="E47" s="283">
        <f t="shared" si="7"/>
        <v>3.0208279525672549E-3</v>
      </c>
      <c r="F47" s="283">
        <f t="shared" si="7"/>
        <v>0</v>
      </c>
      <c r="G47" s="283">
        <f t="shared" si="7"/>
        <v>0</v>
      </c>
      <c r="H47" s="283">
        <f t="shared" si="7"/>
        <v>3.2032784232158564E-3</v>
      </c>
      <c r="I47" s="194"/>
      <c r="J47" s="407">
        <f>AVERAGE(D76:INDEX(D76:H76,0,MATCH(Data!$B$3,$D$7:$H$7,0)))/AVERAGE($D$97:INDEX($D$97:$H$97,0,MATCH(Data!$B$3,$D$7:$H$7,0)))</f>
        <v>0</v>
      </c>
      <c r="K47" s="407">
        <f t="shared" si="8"/>
        <v>1.2505898003279995E-3</v>
      </c>
      <c r="L47" s="505"/>
      <c r="M47" s="505"/>
      <c r="N47" s="256"/>
      <c r="O47" s="256"/>
      <c r="P47" s="256"/>
      <c r="Q47" s="256"/>
      <c r="R47" s="256"/>
      <c r="S47" s="256"/>
      <c r="T47" s="256"/>
      <c r="U47" s="256"/>
      <c r="V47" s="256"/>
      <c r="W47" s="256"/>
    </row>
    <row r="48" spans="1:23">
      <c r="A48" s="342" t="s">
        <v>218</v>
      </c>
      <c r="B48" s="276" t="s">
        <v>115</v>
      </c>
      <c r="C48" s="277" t="s">
        <v>163</v>
      </c>
      <c r="D48" s="282">
        <f t="shared" si="7"/>
        <v>3.1064173577011593E-3</v>
      </c>
      <c r="E48" s="283">
        <f t="shared" si="7"/>
        <v>3.0345589887152877E-3</v>
      </c>
      <c r="F48" s="283">
        <f t="shared" si="7"/>
        <v>3.1080634584287918E-3</v>
      </c>
      <c r="G48" s="283">
        <f t="shared" si="7"/>
        <v>3.2462658461920361E-3</v>
      </c>
      <c r="H48" s="283">
        <f t="shared" si="7"/>
        <v>3.217838779685019E-3</v>
      </c>
      <c r="I48" s="194"/>
      <c r="J48" s="407">
        <f>AVERAGE(D77:INDEX(D77:H77,0,MATCH(Data!$B$3,$D$7:$H$7,0)))/AVERAGE($D$97:INDEX($D$97:$H$97,0,MATCH(Data!$B$3,$D$7:$H$7,0)))</f>
        <v>3.1064173577011593E-3</v>
      </c>
      <c r="K48" s="407">
        <f t="shared" si="8"/>
        <v>3.1406857485509979E-3</v>
      </c>
      <c r="L48" s="505"/>
      <c r="M48" s="505"/>
      <c r="N48" s="256"/>
      <c r="O48" s="256"/>
      <c r="P48" s="256"/>
      <c r="Q48" s="256"/>
      <c r="R48" s="256"/>
      <c r="S48" s="256"/>
      <c r="T48" s="256"/>
      <c r="U48" s="256"/>
      <c r="V48" s="256"/>
      <c r="W48" s="256"/>
    </row>
    <row r="49" spans="1:23">
      <c r="A49" s="342" t="s">
        <v>230</v>
      </c>
      <c r="B49" s="276" t="s">
        <v>116</v>
      </c>
      <c r="C49" s="277" t="s">
        <v>163</v>
      </c>
      <c r="D49" s="282">
        <f t="shared" si="7"/>
        <v>0</v>
      </c>
      <c r="E49" s="283">
        <f t="shared" si="7"/>
        <v>0</v>
      </c>
      <c r="F49" s="283">
        <f t="shared" si="7"/>
        <v>0</v>
      </c>
      <c r="G49" s="283">
        <f t="shared" si="7"/>
        <v>0</v>
      </c>
      <c r="H49" s="283">
        <f t="shared" si="7"/>
        <v>0</v>
      </c>
      <c r="I49" s="194"/>
      <c r="J49" s="407">
        <f>AVERAGE(D78:INDEX(D78:H78,0,MATCH(Data!$B$3,$D$7:$H$7,0)))/AVERAGE($D$97:INDEX($D$97:$H$97,0,MATCH(Data!$B$3,$D$7:$H$7,0)))</f>
        <v>0</v>
      </c>
      <c r="K49" s="407">
        <f t="shared" si="8"/>
        <v>0</v>
      </c>
      <c r="L49" s="505"/>
      <c r="M49" s="505"/>
      <c r="N49" s="256"/>
      <c r="O49" s="256"/>
      <c r="P49" s="256"/>
      <c r="Q49" s="256"/>
      <c r="R49" s="256"/>
      <c r="S49" s="256"/>
      <c r="T49" s="256"/>
      <c r="U49" s="256"/>
      <c r="V49" s="256"/>
      <c r="W49" s="256"/>
    </row>
    <row r="50" spans="1:23">
      <c r="A50" s="342" t="s">
        <v>219</v>
      </c>
      <c r="B50" s="276" t="s">
        <v>117</v>
      </c>
      <c r="C50" s="277" t="s">
        <v>163</v>
      </c>
      <c r="D50" s="282">
        <f t="shared" ref="D50:H56" si="9">D79/D$97</f>
        <v>5.3395940893969588E-4</v>
      </c>
      <c r="E50" s="283">
        <f t="shared" si="9"/>
        <v>4.6925816035902696E-4</v>
      </c>
      <c r="F50" s="283">
        <f t="shared" si="9"/>
        <v>5.3424235577856881E-4</v>
      </c>
      <c r="G50" s="283">
        <f t="shared" si="9"/>
        <v>5.5799784539466049E-4</v>
      </c>
      <c r="H50" s="283">
        <f t="shared" si="9"/>
        <v>6.0862290041101264E-4</v>
      </c>
      <c r="I50" s="194"/>
      <c r="J50" s="407">
        <f>AVERAGE(D79:INDEX(D79:H79,0,MATCH(Data!$B$3,$D$7:$H$7,0)))/AVERAGE($D$97:INDEX($D$97:$H$97,0,MATCH(Data!$B$3,$D$7:$H$7,0)))</f>
        <v>5.3395940893969588E-4</v>
      </c>
      <c r="K50" s="407">
        <f t="shared" si="8"/>
        <v>5.3984977318136216E-4</v>
      </c>
      <c r="L50" s="505"/>
      <c r="M50" s="505"/>
      <c r="N50" s="256"/>
      <c r="O50" s="256"/>
      <c r="P50" s="256"/>
      <c r="Q50" s="256"/>
      <c r="R50" s="256"/>
      <c r="S50" s="256"/>
      <c r="T50" s="256"/>
      <c r="U50" s="256"/>
      <c r="V50" s="256"/>
      <c r="W50" s="256"/>
    </row>
    <row r="51" spans="1:23">
      <c r="A51" s="342" t="s">
        <v>219</v>
      </c>
      <c r="B51" s="276" t="s">
        <v>118</v>
      </c>
      <c r="C51" s="277" t="s">
        <v>163</v>
      </c>
      <c r="D51" s="282">
        <f t="shared" si="9"/>
        <v>-1.0542140354189457E-4</v>
      </c>
      <c r="E51" s="283">
        <f t="shared" si="9"/>
        <v>-1.0298277111024734E-4</v>
      </c>
      <c r="F51" s="283">
        <f t="shared" si="9"/>
        <v>-1.0547726668875991E-4</v>
      </c>
      <c r="G51" s="283">
        <f t="shared" si="9"/>
        <v>-1.1016739297031798E-4</v>
      </c>
      <c r="H51" s="283">
        <f t="shared" si="9"/>
        <v>-1.0920267351872239E-4</v>
      </c>
      <c r="I51" s="194"/>
      <c r="J51" s="407">
        <f>AVERAGE(D80:INDEX(D80:H80,0,MATCH(Data!$B$3,$D$7:$H$7,0)))/AVERAGE($D$97:INDEX($D$97:$H$97,0,MATCH(Data!$B$3,$D$7:$H$7,0)))</f>
        <v>-1.0542140354189457E-4</v>
      </c>
      <c r="K51" s="407">
        <f t="shared" si="8"/>
        <v>-1.0658435798249995E-4</v>
      </c>
      <c r="L51" s="505"/>
      <c r="M51" s="505"/>
      <c r="N51" s="256"/>
      <c r="O51" s="256"/>
      <c r="P51" s="256"/>
      <c r="Q51" s="256"/>
      <c r="R51" s="256"/>
      <c r="S51" s="256"/>
      <c r="T51" s="256"/>
      <c r="U51" s="256"/>
      <c r="V51" s="256"/>
      <c r="W51" s="256"/>
    </row>
    <row r="52" spans="1:23">
      <c r="A52" s="342" t="s">
        <v>220</v>
      </c>
      <c r="B52" s="276" t="s">
        <v>119</v>
      </c>
      <c r="C52" s="277" t="s">
        <v>163</v>
      </c>
      <c r="D52" s="282">
        <f t="shared" si="9"/>
        <v>-1.0542140354189457E-4</v>
      </c>
      <c r="E52" s="283">
        <f t="shared" si="9"/>
        <v>0</v>
      </c>
      <c r="F52" s="283">
        <f t="shared" si="9"/>
        <v>0</v>
      </c>
      <c r="G52" s="283">
        <f t="shared" si="9"/>
        <v>0</v>
      </c>
      <c r="H52" s="283">
        <f t="shared" si="9"/>
        <v>0</v>
      </c>
      <c r="I52" s="194"/>
      <c r="J52" s="407">
        <f>AVERAGE(D81:INDEX(D81:H81,0,MATCH(Data!$B$3,$D$7:$H$7,0)))/AVERAGE($D$97:INDEX($D$97:$H$97,0,MATCH(Data!$B$3,$D$7:$H$7,0)))</f>
        <v>-1.0542140354189457E-4</v>
      </c>
      <c r="K52" s="407">
        <f t="shared" si="8"/>
        <v>-2.1316871596499992E-5</v>
      </c>
      <c r="L52" s="505"/>
      <c r="M52" s="505"/>
      <c r="N52" s="256"/>
      <c r="O52" s="256"/>
      <c r="P52" s="256"/>
      <c r="Q52" s="256"/>
      <c r="R52" s="256"/>
      <c r="S52" s="256"/>
      <c r="T52" s="256"/>
      <c r="U52" s="256"/>
      <c r="V52" s="256"/>
      <c r="W52" s="256"/>
    </row>
    <row r="53" spans="1:23">
      <c r="A53" s="342" t="s">
        <v>221</v>
      </c>
      <c r="B53" s="276" t="s">
        <v>120</v>
      </c>
      <c r="C53" s="277" t="s">
        <v>163</v>
      </c>
      <c r="D53" s="282">
        <f t="shared" si="9"/>
        <v>-1.0542140354189457E-4</v>
      </c>
      <c r="E53" s="283">
        <f t="shared" si="9"/>
        <v>-1.0298277111024734E-4</v>
      </c>
      <c r="F53" s="283">
        <f t="shared" si="9"/>
        <v>-1.0547726668875991E-4</v>
      </c>
      <c r="G53" s="283">
        <f t="shared" si="9"/>
        <v>-1.1016739297031798E-4</v>
      </c>
      <c r="H53" s="283">
        <f t="shared" si="9"/>
        <v>-1.0920267351872239E-4</v>
      </c>
      <c r="I53" s="194"/>
      <c r="J53" s="407">
        <f>AVERAGE(D82:INDEX(D82:H82,0,MATCH(Data!$B$3,$D$7:$H$7,0)))/AVERAGE($D$97:INDEX($D$97:$H$97,0,MATCH(Data!$B$3,$D$7:$H$7,0)))</f>
        <v>-1.0542140354189457E-4</v>
      </c>
      <c r="K53" s="407">
        <f t="shared" si="8"/>
        <v>-1.0658435798249995E-4</v>
      </c>
      <c r="L53" s="505"/>
      <c r="M53" s="505"/>
      <c r="N53" s="256"/>
      <c r="O53" s="256"/>
      <c r="P53" s="256"/>
      <c r="Q53" s="256"/>
      <c r="R53" s="256"/>
      <c r="S53" s="256"/>
      <c r="T53" s="256"/>
      <c r="U53" s="256"/>
      <c r="V53" s="256"/>
      <c r="W53" s="256"/>
    </row>
    <row r="54" spans="1:23">
      <c r="A54" s="342" t="s">
        <v>222</v>
      </c>
      <c r="B54" s="276">
        <v>0</v>
      </c>
      <c r="C54" s="277" t="s">
        <v>163</v>
      </c>
      <c r="D54" s="282">
        <f t="shared" si="9"/>
        <v>0</v>
      </c>
      <c r="E54" s="283">
        <f t="shared" si="9"/>
        <v>0</v>
      </c>
      <c r="F54" s="283">
        <f t="shared" si="9"/>
        <v>0</v>
      </c>
      <c r="G54" s="283">
        <f t="shared" si="9"/>
        <v>0</v>
      </c>
      <c r="H54" s="283">
        <f t="shared" si="9"/>
        <v>0</v>
      </c>
      <c r="I54" s="194"/>
      <c r="J54" s="407">
        <f>AVERAGE(D83:INDEX(D83:H83,0,MATCH(Data!$B$3,$D$7:$H$7,0)))/AVERAGE($D$97:INDEX($D$97:$H$97,0,MATCH(Data!$B$3,$D$7:$H$7,0)))</f>
        <v>0</v>
      </c>
      <c r="K54" s="407">
        <f t="shared" si="8"/>
        <v>0</v>
      </c>
      <c r="L54" s="505"/>
      <c r="M54" s="505"/>
      <c r="N54" s="256"/>
      <c r="O54" s="256"/>
      <c r="P54" s="256"/>
      <c r="Q54" s="256"/>
      <c r="R54" s="256"/>
      <c r="S54" s="256"/>
      <c r="T54" s="256"/>
      <c r="U54" s="256"/>
      <c r="V54" s="256"/>
      <c r="W54" s="256"/>
    </row>
    <row r="55" spans="1:23">
      <c r="A55" s="342" t="s">
        <v>223</v>
      </c>
      <c r="B55" s="276">
        <v>0</v>
      </c>
      <c r="C55" s="277" t="s">
        <v>163</v>
      </c>
      <c r="D55" s="282">
        <f t="shared" si="9"/>
        <v>0</v>
      </c>
      <c r="E55" s="283">
        <f t="shared" si="9"/>
        <v>0</v>
      </c>
      <c r="F55" s="283">
        <f t="shared" si="9"/>
        <v>0</v>
      </c>
      <c r="G55" s="283">
        <f t="shared" si="9"/>
        <v>0</v>
      </c>
      <c r="H55" s="283">
        <f t="shared" si="9"/>
        <v>0</v>
      </c>
      <c r="I55" s="194"/>
      <c r="J55" s="407">
        <f>AVERAGE(D84:INDEX(D84:H84,0,MATCH(Data!$B$3,$D$7:$H$7,0)))/AVERAGE($D$97:INDEX($D$97:$H$97,0,MATCH(Data!$B$3,$D$7:$H$7,0)))</f>
        <v>0</v>
      </c>
      <c r="K55" s="407">
        <f t="shared" si="8"/>
        <v>0</v>
      </c>
      <c r="L55" s="505"/>
      <c r="M55" s="505"/>
      <c r="N55" s="256"/>
      <c r="O55" s="256"/>
      <c r="P55" s="256"/>
      <c r="Q55" s="256"/>
      <c r="R55" s="256"/>
      <c r="S55" s="256"/>
      <c r="T55" s="256"/>
      <c r="U55" s="256"/>
      <c r="V55" s="256"/>
      <c r="W55" s="256"/>
    </row>
    <row r="56" spans="1:23">
      <c r="A56" s="342" t="s">
        <v>224</v>
      </c>
      <c r="B56" s="276">
        <v>0</v>
      </c>
      <c r="C56" s="277" t="s">
        <v>163</v>
      </c>
      <c r="D56" s="282">
        <f t="shared" si="9"/>
        <v>0</v>
      </c>
      <c r="E56" s="283">
        <f t="shared" si="9"/>
        <v>0</v>
      </c>
      <c r="F56" s="283">
        <f t="shared" si="9"/>
        <v>0</v>
      </c>
      <c r="G56" s="283">
        <f t="shared" si="9"/>
        <v>0</v>
      </c>
      <c r="H56" s="283">
        <f t="shared" si="9"/>
        <v>0</v>
      </c>
      <c r="I56" s="194"/>
      <c r="J56" s="407">
        <f>AVERAGE(D85:INDEX(D85:H85,0,MATCH(Data!$B$3,$D$7:$H$7,0)))/AVERAGE($D$97:INDEX($D$97:$H$97,0,MATCH(Data!$B$3,$D$7:$H$7,0)))</f>
        <v>0</v>
      </c>
      <c r="K56" s="407">
        <f t="shared" si="8"/>
        <v>0</v>
      </c>
      <c r="L56" s="505"/>
      <c r="M56" s="505"/>
      <c r="N56" s="256"/>
      <c r="O56" s="256"/>
      <c r="P56" s="256"/>
      <c r="Q56" s="256"/>
      <c r="R56" s="256"/>
      <c r="S56" s="256"/>
      <c r="T56" s="256"/>
      <c r="U56" s="256"/>
      <c r="V56" s="256"/>
      <c r="W56" s="256"/>
    </row>
    <row r="57" spans="1:23">
      <c r="A57" s="342" t="s">
        <v>225</v>
      </c>
      <c r="B57" s="276">
        <v>0</v>
      </c>
      <c r="C57" s="277" t="s">
        <v>163</v>
      </c>
      <c r="D57" s="282">
        <f>D88/D$97</f>
        <v>-3.2598461175157179E-4</v>
      </c>
      <c r="E57" s="283">
        <f>E88/E$97</f>
        <v>0</v>
      </c>
      <c r="F57" s="283">
        <f>F88/F$97</f>
        <v>0</v>
      </c>
      <c r="G57" s="283">
        <f>G88/G$97</f>
        <v>0</v>
      </c>
      <c r="H57" s="283">
        <f>H88/H$97</f>
        <v>0</v>
      </c>
      <c r="I57" s="194"/>
      <c r="J57" s="407">
        <f>AVERAGE(D88:INDEX(D88:H88,0,MATCH(Data!$B$3,$D$7:$H$7,0)))/AVERAGE($D$97:INDEX($D$97:$H$97,0,MATCH(Data!$B$3,$D$7:$H$7,0)))</f>
        <v>-3.2598461175157179E-4</v>
      </c>
      <c r="K57" s="407">
        <f>AVERAGE(D88:H88)/AVERAGE($D$97:$H$97)</f>
        <v>-6.5916141102993653E-5</v>
      </c>
      <c r="L57" s="256"/>
      <c r="M57" s="256"/>
      <c r="N57" s="256"/>
      <c r="O57" s="256"/>
      <c r="P57" s="256"/>
      <c r="Q57" s="256"/>
      <c r="R57" s="256"/>
      <c r="S57" s="256"/>
      <c r="T57" s="256"/>
      <c r="U57" s="256"/>
      <c r="V57" s="256"/>
      <c r="W57" s="256"/>
    </row>
    <row r="58" spans="1:23">
      <c r="A58" s="342" t="s">
        <v>226</v>
      </c>
      <c r="B58" s="276" t="s">
        <v>121</v>
      </c>
      <c r="C58" s="277" t="s">
        <v>163</v>
      </c>
      <c r="D58" s="282">
        <f>D88/D$97</f>
        <v>-3.2598461175157179E-4</v>
      </c>
      <c r="E58" s="283">
        <f>E88/E$97</f>
        <v>0</v>
      </c>
      <c r="F58" s="283">
        <f>F88/F$97</f>
        <v>0</v>
      </c>
      <c r="G58" s="283">
        <f>G88/G$97</f>
        <v>0</v>
      </c>
      <c r="H58" s="283">
        <f>H88/H$97</f>
        <v>0</v>
      </c>
      <c r="I58" s="194"/>
      <c r="J58" s="407">
        <f>AVERAGE(D88:INDEX(D88:H88,0,MATCH(Data!$B$3,$D$7:$H$7,0)))/AVERAGE($D$97:INDEX($D$97:$H$97,0,MATCH(Data!$B$3,$D$7:$H$7,0)))</f>
        <v>-3.2598461175157179E-4</v>
      </c>
      <c r="K58" s="407">
        <f>AVERAGE(D88:H88)/AVERAGE($D$97:$H$97)</f>
        <v>-6.5916141102993653E-5</v>
      </c>
      <c r="L58" s="505"/>
      <c r="M58" s="505"/>
      <c r="N58" s="256"/>
      <c r="O58" s="256"/>
      <c r="P58" s="256"/>
      <c r="Q58" s="256"/>
      <c r="R58" s="256"/>
      <c r="S58" s="256"/>
      <c r="T58" s="256"/>
      <c r="U58" s="256"/>
      <c r="V58" s="256"/>
      <c r="W58" s="256"/>
    </row>
    <row r="59" spans="1:23">
      <c r="B59" s="279" t="s">
        <v>122</v>
      </c>
      <c r="C59" s="281" t="s">
        <v>163</v>
      </c>
      <c r="D59" s="324">
        <f>SUM(D40:D58)</f>
        <v>7.7893084656156603E-2</v>
      </c>
      <c r="E59" s="324">
        <f t="shared" ref="E59:K59" si="10">SUM(E40:E58)</f>
        <v>8.39703561743389E-2</v>
      </c>
      <c r="F59" s="324">
        <f t="shared" si="10"/>
        <v>6.6078972469634997E-2</v>
      </c>
      <c r="G59" s="324">
        <f t="shared" si="10"/>
        <v>7.1839224330236193E-2</v>
      </c>
      <c r="H59" s="324">
        <f t="shared" si="10"/>
        <v>7.7681948720341801E-2</v>
      </c>
      <c r="I59" s="287"/>
      <c r="J59" s="152">
        <f t="shared" si="10"/>
        <v>7.7893084656156603E-2</v>
      </c>
      <c r="K59" s="152">
        <f t="shared" si="10"/>
        <v>7.5550815853227704E-2</v>
      </c>
      <c r="L59" s="505"/>
      <c r="M59" s="505"/>
      <c r="N59" s="256"/>
      <c r="O59" s="256"/>
      <c r="P59" s="256"/>
      <c r="Q59" s="256"/>
      <c r="R59" s="256"/>
      <c r="S59" s="256"/>
      <c r="T59" s="256"/>
      <c r="U59" s="256"/>
      <c r="V59" s="256"/>
      <c r="W59" s="256"/>
    </row>
    <row r="60" spans="1:23">
      <c r="A60" s="342"/>
      <c r="B60" s="276" t="s">
        <v>173</v>
      </c>
      <c r="C60" s="277" t="s">
        <v>163</v>
      </c>
      <c r="D60" s="282">
        <f>(D90+D91)/D$97</f>
        <v>6.5726832853681472E-2</v>
      </c>
      <c r="E60" s="283">
        <f t="shared" ref="E60:H60" si="11">(E90+E91)/E$97</f>
        <v>1.6794596799429944E-2</v>
      </c>
      <c r="F60" s="283">
        <f t="shared" si="11"/>
        <v>1.7926811061247661E-3</v>
      </c>
      <c r="G60" s="283">
        <f t="shared" si="11"/>
        <v>1.3832824200970784E-3</v>
      </c>
      <c r="H60" s="283">
        <f t="shared" si="11"/>
        <v>3.6742668468266069E-3</v>
      </c>
      <c r="I60" s="194"/>
      <c r="J60" s="407">
        <f>(AVERAGE(D90:INDEX(D90:H90,0,MATCH(Data!$B$3,$D$7:$H$7,0)))+AVERAGE(D91:INDEX(D91:H91,0,MATCH(Data!$B$3,$D$7:$H$7,0))))/AVERAGE($D$97:INDEX($D$97:$H$97,0,MATCH(Data!$B$3,$D$7:$H$7,0)))</f>
        <v>6.5726832853681472E-2</v>
      </c>
      <c r="K60" s="407">
        <f>(AVERAGE(D90:H90)+AVERAGE(D91:H91))/AVERAGE($D$97:$H$97)</f>
        <v>1.8113961437940997E-2</v>
      </c>
      <c r="L60" s="505"/>
      <c r="M60" s="505"/>
      <c r="N60" s="256"/>
      <c r="O60" s="256"/>
      <c r="P60" s="256"/>
      <c r="Q60" s="256"/>
      <c r="R60" s="256"/>
      <c r="S60" s="256"/>
      <c r="T60" s="256"/>
      <c r="U60" s="256"/>
      <c r="V60" s="256"/>
      <c r="W60" s="256"/>
    </row>
    <row r="61" spans="1:23">
      <c r="A61" s="342"/>
      <c r="B61" s="276" t="s">
        <v>174</v>
      </c>
      <c r="C61" s="277" t="s">
        <v>163</v>
      </c>
      <c r="D61" s="282">
        <f>(D92+D93)/D$97</f>
        <v>-6.4149672699812784E-3</v>
      </c>
      <c r="E61" s="283">
        <f t="shared" ref="E61:H61" si="12">(E92+E93)/E$97</f>
        <v>6.6591212132485139E-3</v>
      </c>
      <c r="F61" s="283">
        <f t="shared" si="12"/>
        <v>-6.6876109460836204E-3</v>
      </c>
      <c r="G61" s="283">
        <f t="shared" si="12"/>
        <v>8.5338628363419086E-3</v>
      </c>
      <c r="H61" s="283">
        <f t="shared" si="12"/>
        <v>6.1062913132975622E-3</v>
      </c>
      <c r="I61" s="194"/>
      <c r="J61" s="407">
        <f>(AVERAGE(D92:INDEX(D92:H92,0,MATCH(Data!$B$3,$D$7:$H$7,0)))+AVERAGE(D93:INDEX(D93:H93,0,MATCH(Data!$B$3,$D$7:$H$7,0))))/AVERAGE($D$97:INDEX($D$97:$H$97,0,MATCH(Data!$B$3,$D$7:$H$7,0)))</f>
        <v>-6.4149672699812784E-3</v>
      </c>
      <c r="K61" s="407">
        <f>(AVERAGE(D92:H92)+AVERAGE(D93:H93))/AVERAGE($D$97:$H$97)</f>
        <v>1.5729329551696556E-3</v>
      </c>
      <c r="L61" s="505"/>
      <c r="M61" s="505"/>
      <c r="N61" s="256"/>
      <c r="O61" s="256"/>
      <c r="P61" s="256"/>
      <c r="Q61" s="256"/>
      <c r="R61" s="256"/>
      <c r="S61" s="256"/>
      <c r="T61" s="256"/>
      <c r="U61" s="256"/>
      <c r="V61" s="256"/>
      <c r="W61" s="256"/>
    </row>
    <row r="62" spans="1:23">
      <c r="A62" s="342"/>
      <c r="B62" s="279" t="s">
        <v>125</v>
      </c>
      <c r="C62" s="281" t="s">
        <v>163</v>
      </c>
      <c r="D62" s="151">
        <f>SUM(D59:D61)</f>
        <v>0.13720495023985679</v>
      </c>
      <c r="E62" s="325">
        <f t="shared" ref="E62:H62" si="13">SUM(E59:E61)</f>
        <v>0.10742407418701737</v>
      </c>
      <c r="F62" s="325">
        <f t="shared" si="13"/>
        <v>6.1184042629676146E-2</v>
      </c>
      <c r="G62" s="325">
        <f t="shared" si="13"/>
        <v>8.1756369586675176E-2</v>
      </c>
      <c r="H62" s="325">
        <f t="shared" si="13"/>
        <v>8.7462506880465973E-2</v>
      </c>
      <c r="I62" s="287"/>
      <c r="J62" s="152">
        <f>SUM(J59:J61)</f>
        <v>0.13720495023985679</v>
      </c>
      <c r="K62" s="152">
        <f>SUM(K59:K61)</f>
        <v>9.5237710246338356E-2</v>
      </c>
      <c r="L62" s="505"/>
      <c r="M62" s="505"/>
      <c r="N62" s="256"/>
      <c r="O62" s="256"/>
      <c r="P62" s="256"/>
      <c r="Q62" s="256"/>
      <c r="R62" s="256"/>
      <c r="S62" s="256"/>
      <c r="T62" s="256"/>
      <c r="U62" s="256"/>
      <c r="V62" s="256"/>
      <c r="W62" s="256"/>
    </row>
    <row r="63" spans="1:23">
      <c r="A63" s="342"/>
      <c r="B63" s="288"/>
      <c r="C63" s="281"/>
      <c r="D63" s="289"/>
      <c r="E63" s="289"/>
      <c r="F63" s="289"/>
      <c r="G63" s="289"/>
      <c r="H63" s="289"/>
      <c r="I63" s="280"/>
      <c r="J63" s="280"/>
      <c r="K63" s="289"/>
      <c r="L63" s="505"/>
      <c r="M63" s="505"/>
      <c r="N63" s="256"/>
      <c r="O63" s="256"/>
      <c r="P63" s="256"/>
      <c r="Q63" s="256"/>
      <c r="R63" s="256"/>
      <c r="S63" s="256"/>
      <c r="T63" s="256"/>
      <c r="U63" s="256"/>
      <c r="V63" s="256"/>
      <c r="W63" s="256"/>
    </row>
    <row r="64" spans="1:23">
      <c r="A64" s="342"/>
      <c r="B64" s="288"/>
      <c r="C64" s="281"/>
      <c r="D64" s="289"/>
      <c r="E64" s="289"/>
      <c r="F64" s="289"/>
      <c r="G64" s="289"/>
      <c r="H64" s="289"/>
      <c r="I64" s="511"/>
      <c r="J64" s="511"/>
      <c r="K64" s="289"/>
      <c r="L64" s="505"/>
      <c r="M64" s="505"/>
      <c r="N64" s="256"/>
      <c r="O64" s="256"/>
      <c r="P64" s="256"/>
      <c r="Q64" s="256"/>
      <c r="R64" s="256"/>
      <c r="S64" s="256"/>
      <c r="T64" s="256"/>
      <c r="U64" s="256"/>
      <c r="V64" s="256"/>
      <c r="W64" s="256"/>
    </row>
    <row r="65" spans="1:23">
      <c r="A65" s="342"/>
      <c r="B65" s="288"/>
      <c r="C65" s="281"/>
      <c r="D65" s="289"/>
      <c r="E65" s="289"/>
      <c r="F65" s="289"/>
      <c r="G65" s="289"/>
      <c r="H65" s="289"/>
      <c r="I65" s="280"/>
      <c r="J65" s="280"/>
      <c r="K65" s="289"/>
      <c r="L65" s="256"/>
      <c r="M65" s="256"/>
      <c r="N65" s="256"/>
      <c r="O65" s="256"/>
      <c r="P65" s="256"/>
      <c r="Q65" s="256"/>
      <c r="R65" s="256"/>
      <c r="S65" s="256"/>
      <c r="T65" s="256"/>
      <c r="U65" s="256"/>
      <c r="V65" s="256"/>
      <c r="W65" s="256"/>
    </row>
    <row r="66" spans="1:23">
      <c r="A66" s="342"/>
      <c r="B66" s="290" t="s">
        <v>175</v>
      </c>
      <c r="C66" s="291"/>
      <c r="D66" s="292"/>
      <c r="E66" s="292"/>
      <c r="F66" s="292"/>
      <c r="G66" s="292"/>
      <c r="H66" s="292"/>
      <c r="I66" s="512"/>
      <c r="J66" s="512"/>
      <c r="K66" s="292"/>
      <c r="L66" s="513"/>
      <c r="M66" s="513"/>
      <c r="N66" s="256"/>
      <c r="O66" s="256"/>
      <c r="P66" s="256"/>
      <c r="Q66" s="256"/>
      <c r="R66" s="256"/>
      <c r="S66" s="256"/>
      <c r="T66" s="256"/>
      <c r="U66" s="256"/>
      <c r="V66" s="256"/>
      <c r="W66" s="256"/>
    </row>
    <row r="67" spans="1:23">
      <c r="A67" s="342"/>
      <c r="B67" s="293" t="s">
        <v>227</v>
      </c>
      <c r="C67" s="294"/>
      <c r="D67" s="294"/>
      <c r="E67" s="294"/>
      <c r="F67" s="294"/>
      <c r="G67" s="294"/>
      <c r="H67" s="294"/>
      <c r="I67" s="510"/>
      <c r="J67" s="510"/>
      <c r="K67" s="294"/>
      <c r="L67" s="510"/>
      <c r="M67" s="510"/>
      <c r="N67" s="256"/>
      <c r="O67" s="256"/>
      <c r="P67" s="256"/>
      <c r="Q67" s="256"/>
      <c r="R67" s="256"/>
      <c r="S67" s="256"/>
      <c r="T67" s="256"/>
      <c r="U67" s="256"/>
      <c r="V67" s="256"/>
      <c r="W67" s="256"/>
    </row>
    <row r="68" spans="1:23">
      <c r="A68" s="342"/>
      <c r="B68" s="265"/>
      <c r="C68" s="256"/>
      <c r="D68" s="256"/>
      <c r="E68" s="256"/>
      <c r="F68" s="256"/>
      <c r="G68" s="256"/>
      <c r="H68" s="256"/>
      <c r="I68" s="505"/>
      <c r="J68" s="505"/>
      <c r="K68" s="256"/>
      <c r="L68" s="505"/>
      <c r="M68" s="505"/>
      <c r="N68" s="256"/>
      <c r="O68" s="256"/>
      <c r="P68" s="256"/>
      <c r="Q68" s="256"/>
      <c r="R68" s="256"/>
      <c r="S68" s="256"/>
      <c r="T68" s="256"/>
      <c r="U68" s="256"/>
      <c r="V68" s="256"/>
      <c r="W68" s="256"/>
    </row>
    <row r="69" spans="1:23">
      <c r="B69" s="295" t="s">
        <v>177</v>
      </c>
      <c r="C69" s="104" t="s">
        <v>228</v>
      </c>
      <c r="D69" s="326">
        <v>135.51138338608416</v>
      </c>
      <c r="E69" s="326">
        <v>147.11806599407652</v>
      </c>
      <c r="F69" s="326">
        <v>149.55256255243751</v>
      </c>
      <c r="G69" s="326">
        <v>153.48639445345796</v>
      </c>
      <c r="H69" s="326">
        <v>157.12928210688239</v>
      </c>
      <c r="I69" s="265"/>
      <c r="J69" s="326">
        <v>135.51138338608416</v>
      </c>
      <c r="K69" s="326">
        <v>742.79768849293851</v>
      </c>
      <c r="L69" s="508"/>
      <c r="M69" s="507"/>
      <c r="N69" s="256"/>
      <c r="O69" s="256"/>
      <c r="P69" s="256"/>
      <c r="Q69" s="256"/>
      <c r="R69" s="256"/>
      <c r="S69" s="256"/>
      <c r="T69" s="256"/>
      <c r="U69" s="256"/>
      <c r="V69" s="256"/>
      <c r="W69" s="256"/>
    </row>
    <row r="70" spans="1:23">
      <c r="B70" s="295" t="s">
        <v>108</v>
      </c>
      <c r="C70" s="104" t="s">
        <v>228</v>
      </c>
      <c r="D70" s="326">
        <v>69.748361996167574</v>
      </c>
      <c r="E70" s="326">
        <v>63.28510765039789</v>
      </c>
      <c r="F70" s="326">
        <v>10.516133157295405</v>
      </c>
      <c r="G70" s="326">
        <v>13.335662124044262</v>
      </c>
      <c r="H70" s="326">
        <v>17.553222610204017</v>
      </c>
      <c r="I70" s="265"/>
      <c r="J70" s="326">
        <v>69.748361996167574</v>
      </c>
      <c r="K70" s="326">
        <v>174.43848753810914</v>
      </c>
      <c r="L70" s="508"/>
      <c r="M70" s="507"/>
      <c r="N70" s="256"/>
      <c r="O70" s="256"/>
      <c r="P70" s="256"/>
      <c r="Q70" s="256"/>
      <c r="R70" s="256"/>
      <c r="S70" s="256"/>
      <c r="T70" s="256"/>
      <c r="U70" s="256"/>
      <c r="V70" s="256"/>
      <c r="W70" s="256"/>
    </row>
    <row r="71" spans="1:23">
      <c r="A71" s="314" t="s">
        <v>212</v>
      </c>
      <c r="B71" s="295" t="s">
        <v>109</v>
      </c>
      <c r="C71" s="104" t="s">
        <v>228</v>
      </c>
      <c r="D71" s="326">
        <v>5.0941613177530423</v>
      </c>
      <c r="E71" s="326">
        <v>5.0941613177530423</v>
      </c>
      <c r="F71" s="326">
        <v>5.0941613177530423</v>
      </c>
      <c r="G71" s="326">
        <v>5.0941613177530423</v>
      </c>
      <c r="H71" s="326">
        <v>5.0941613177530423</v>
      </c>
      <c r="I71" s="265"/>
      <c r="J71" s="326">
        <v>5.0941613177530423</v>
      </c>
      <c r="K71" s="326">
        <v>25.470806588765214</v>
      </c>
      <c r="L71" s="508"/>
      <c r="M71" s="507"/>
      <c r="N71" s="256"/>
      <c r="O71" s="256"/>
      <c r="P71" s="256"/>
      <c r="Q71" s="256"/>
      <c r="R71" s="256"/>
      <c r="S71" s="256"/>
      <c r="T71" s="256"/>
      <c r="U71" s="256"/>
      <c r="V71" s="256"/>
      <c r="W71" s="256"/>
    </row>
    <row r="72" spans="1:23">
      <c r="A72" s="343" t="s">
        <v>213</v>
      </c>
      <c r="B72" s="295" t="s">
        <v>110</v>
      </c>
      <c r="C72" s="298" t="s">
        <v>228</v>
      </c>
      <c r="D72" s="326">
        <v>1.5983057753074543</v>
      </c>
      <c r="E72" s="326">
        <v>1.5442011855284223</v>
      </c>
      <c r="F72" s="326">
        <v>1.5808371867013242</v>
      </c>
      <c r="G72" s="326">
        <v>1.6152500881393621</v>
      </c>
      <c r="H72" s="326">
        <v>1.7009241875202958</v>
      </c>
      <c r="I72" s="327"/>
      <c r="J72" s="326">
        <v>1.5983057753074543</v>
      </c>
      <c r="K72" s="326">
        <v>8.0395184231968582</v>
      </c>
      <c r="L72" s="508"/>
      <c r="M72" s="507"/>
      <c r="N72" s="256"/>
      <c r="O72" s="256"/>
      <c r="P72" s="256"/>
      <c r="Q72" s="256"/>
      <c r="R72" s="256"/>
      <c r="S72" s="256"/>
      <c r="T72" s="256"/>
      <c r="U72" s="256"/>
      <c r="V72" s="256"/>
      <c r="W72" s="256"/>
    </row>
    <row r="73" spans="1:23">
      <c r="A73" s="343" t="s">
        <v>214</v>
      </c>
      <c r="B73" s="295" t="s">
        <v>111</v>
      </c>
      <c r="C73" s="298" t="s">
        <v>228</v>
      </c>
      <c r="D73" s="326">
        <v>8.0908621017278435</v>
      </c>
      <c r="E73" s="326">
        <v>8.0908621017278435</v>
      </c>
      <c r="F73" s="326">
        <v>8.0908621017278435</v>
      </c>
      <c r="G73" s="326">
        <v>8.0908621017278435</v>
      </c>
      <c r="H73" s="326">
        <v>8.0908621017278435</v>
      </c>
      <c r="I73" s="327"/>
      <c r="J73" s="326">
        <v>8.0908621017278435</v>
      </c>
      <c r="K73" s="326">
        <v>40.45431050863921</v>
      </c>
      <c r="L73" s="508"/>
      <c r="M73" s="507"/>
      <c r="N73" s="256"/>
      <c r="O73" s="256"/>
      <c r="P73" s="256"/>
      <c r="Q73" s="256"/>
      <c r="R73" s="256"/>
      <c r="S73" s="256"/>
      <c r="T73" s="256"/>
      <c r="U73" s="256"/>
      <c r="V73" s="256"/>
      <c r="W73" s="256"/>
    </row>
    <row r="74" spans="1:23">
      <c r="A74" s="343" t="s">
        <v>215</v>
      </c>
      <c r="B74" s="295" t="s">
        <v>112</v>
      </c>
      <c r="C74" s="298" t="s">
        <v>228</v>
      </c>
      <c r="D74" s="326">
        <v>-5.9851922218170515</v>
      </c>
      <c r="E74" s="326">
        <v>1.0753715874392835</v>
      </c>
      <c r="F74" s="326">
        <v>3.3487332842916784</v>
      </c>
      <c r="G74" s="326">
        <v>4.2456302549572866</v>
      </c>
      <c r="H74" s="326">
        <v>5.1262699216553784</v>
      </c>
      <c r="I74" s="327"/>
      <c r="J74" s="326">
        <v>-5.9851922218170515</v>
      </c>
      <c r="K74" s="326">
        <v>7.8108128265265755</v>
      </c>
      <c r="L74" s="508"/>
      <c r="M74" s="507"/>
      <c r="N74" s="256"/>
      <c r="O74" s="256"/>
      <c r="P74" s="256"/>
      <c r="Q74" s="256"/>
      <c r="R74" s="256"/>
      <c r="S74" s="256"/>
      <c r="T74" s="256"/>
      <c r="U74" s="256"/>
      <c r="V74" s="256"/>
      <c r="W74" s="256"/>
    </row>
    <row r="75" spans="1:23">
      <c r="A75" s="343" t="s">
        <v>216</v>
      </c>
      <c r="B75" s="295" t="s">
        <v>113</v>
      </c>
      <c r="C75" s="298" t="s">
        <v>228</v>
      </c>
      <c r="D75" s="326">
        <v>0</v>
      </c>
      <c r="E75" s="326">
        <v>0</v>
      </c>
      <c r="F75" s="326">
        <v>0</v>
      </c>
      <c r="G75" s="326">
        <v>0</v>
      </c>
      <c r="H75" s="326">
        <v>0</v>
      </c>
      <c r="I75" s="327"/>
      <c r="J75" s="326">
        <v>0</v>
      </c>
      <c r="K75" s="326">
        <v>0</v>
      </c>
      <c r="L75" s="508"/>
      <c r="M75" s="507"/>
      <c r="N75" s="256"/>
      <c r="O75" s="256"/>
      <c r="P75" s="256"/>
      <c r="Q75" s="256"/>
      <c r="R75" s="256"/>
      <c r="S75" s="256"/>
      <c r="T75" s="256"/>
      <c r="U75" s="256"/>
      <c r="V75" s="256"/>
      <c r="W75" s="256"/>
    </row>
    <row r="76" spans="1:23">
      <c r="A76" s="343" t="s">
        <v>217</v>
      </c>
      <c r="B76" s="295" t="s">
        <v>114</v>
      </c>
      <c r="C76" s="298" t="s">
        <v>228</v>
      </c>
      <c r="D76" s="326">
        <v>0</v>
      </c>
      <c r="E76" s="326">
        <v>8.8000000000000007</v>
      </c>
      <c r="F76" s="326">
        <v>0</v>
      </c>
      <c r="G76" s="326">
        <v>0</v>
      </c>
      <c r="H76" s="326">
        <v>8.8000000000000007</v>
      </c>
      <c r="I76" s="327"/>
      <c r="J76" s="326">
        <v>0</v>
      </c>
      <c r="K76" s="326">
        <v>17.600000000000001</v>
      </c>
      <c r="L76" s="508"/>
      <c r="M76" s="507"/>
      <c r="N76" s="256"/>
      <c r="O76" s="256"/>
      <c r="P76" s="256"/>
      <c r="Q76" s="256"/>
      <c r="R76" s="256"/>
      <c r="S76" s="256"/>
      <c r="T76" s="256"/>
      <c r="U76" s="256"/>
      <c r="V76" s="256"/>
      <c r="W76" s="256"/>
    </row>
    <row r="77" spans="1:23">
      <c r="A77" s="314" t="s">
        <v>218</v>
      </c>
      <c r="B77" s="295" t="s">
        <v>115</v>
      </c>
      <c r="C77" s="104" t="s">
        <v>228</v>
      </c>
      <c r="D77" s="326">
        <v>8.84</v>
      </c>
      <c r="E77" s="326">
        <v>8.84</v>
      </c>
      <c r="F77" s="326">
        <v>8.84</v>
      </c>
      <c r="G77" s="326">
        <v>8.84</v>
      </c>
      <c r="H77" s="326">
        <v>8.84</v>
      </c>
      <c r="I77" s="327"/>
      <c r="J77" s="326">
        <v>8.84</v>
      </c>
      <c r="K77" s="326">
        <v>44.2</v>
      </c>
      <c r="L77" s="508"/>
      <c r="M77" s="507"/>
      <c r="N77" s="256"/>
      <c r="O77" s="256"/>
      <c r="P77" s="256"/>
      <c r="Q77" s="256"/>
      <c r="R77" s="256"/>
      <c r="S77" s="256"/>
      <c r="T77" s="256"/>
      <c r="U77" s="256"/>
      <c r="V77" s="256"/>
      <c r="W77" s="256"/>
    </row>
    <row r="78" spans="1:23">
      <c r="A78" s="314" t="s">
        <v>230</v>
      </c>
      <c r="B78" s="295" t="s">
        <v>116</v>
      </c>
      <c r="C78" s="104" t="s">
        <v>228</v>
      </c>
      <c r="D78" s="326">
        <v>0</v>
      </c>
      <c r="E78" s="326">
        <v>0</v>
      </c>
      <c r="F78" s="326">
        <v>0</v>
      </c>
      <c r="G78" s="326">
        <v>0</v>
      </c>
      <c r="H78" s="326">
        <v>0</v>
      </c>
      <c r="I78" s="265"/>
      <c r="J78" s="326">
        <v>0</v>
      </c>
      <c r="K78" s="326">
        <v>0</v>
      </c>
      <c r="L78" s="508"/>
      <c r="M78" s="507"/>
      <c r="N78" s="256"/>
      <c r="O78" s="256"/>
      <c r="P78" s="256"/>
      <c r="Q78" s="256"/>
      <c r="R78" s="256"/>
      <c r="S78" s="256"/>
      <c r="T78" s="256"/>
      <c r="U78" s="256"/>
      <c r="V78" s="256"/>
      <c r="W78" s="256"/>
    </row>
    <row r="79" spans="1:23">
      <c r="A79" s="314" t="s">
        <v>219</v>
      </c>
      <c r="B79" s="295" t="s">
        <v>117</v>
      </c>
      <c r="C79" s="104" t="s">
        <v>228</v>
      </c>
      <c r="D79" s="326">
        <v>1.5194999999999999</v>
      </c>
      <c r="E79" s="326">
        <v>1.367</v>
      </c>
      <c r="F79" s="326">
        <v>1.5194999999999999</v>
      </c>
      <c r="G79" s="326">
        <v>1.5194999999999999</v>
      </c>
      <c r="H79" s="326">
        <v>1.6719999999999999</v>
      </c>
      <c r="I79" s="265"/>
      <c r="J79" s="326">
        <v>1.5194999999999999</v>
      </c>
      <c r="K79" s="326">
        <v>7.5975000000000001</v>
      </c>
      <c r="L79" s="508"/>
      <c r="M79" s="507"/>
      <c r="N79" s="256"/>
      <c r="O79" s="256"/>
      <c r="P79" s="256"/>
      <c r="Q79" s="256"/>
      <c r="R79" s="256"/>
      <c r="S79" s="256"/>
      <c r="T79" s="256"/>
      <c r="U79" s="256"/>
      <c r="V79" s="256"/>
      <c r="W79" s="256"/>
    </row>
    <row r="80" spans="1:23">
      <c r="A80" s="314" t="s">
        <v>219</v>
      </c>
      <c r="B80" s="295" t="s">
        <v>118</v>
      </c>
      <c r="C80" s="104" t="s">
        <v>228</v>
      </c>
      <c r="D80" s="326">
        <v>-0.30000000000000004</v>
      </c>
      <c r="E80" s="326">
        <v>-0.30000000000000004</v>
      </c>
      <c r="F80" s="326">
        <v>-0.30000000000000004</v>
      </c>
      <c r="G80" s="326">
        <v>-0.30000000000000004</v>
      </c>
      <c r="H80" s="326">
        <v>-0.30000000000000004</v>
      </c>
      <c r="I80" s="265"/>
      <c r="J80" s="326">
        <v>-0.30000000000000004</v>
      </c>
      <c r="K80" s="326">
        <v>-1.5</v>
      </c>
      <c r="L80" s="508"/>
      <c r="M80" s="507"/>
      <c r="N80" s="256"/>
      <c r="O80" s="256"/>
      <c r="P80" s="256"/>
      <c r="Q80" s="256"/>
      <c r="R80" s="256"/>
      <c r="S80" s="256"/>
      <c r="T80" s="256"/>
      <c r="U80" s="256"/>
      <c r="V80" s="256"/>
      <c r="W80" s="256"/>
    </row>
    <row r="81" spans="1:23">
      <c r="A81" s="314" t="s">
        <v>220</v>
      </c>
      <c r="B81" s="295" t="s">
        <v>119</v>
      </c>
      <c r="C81" s="104" t="s">
        <v>228</v>
      </c>
      <c r="D81" s="326">
        <v>-0.30000000000000004</v>
      </c>
      <c r="E81" s="326">
        <v>0</v>
      </c>
      <c r="F81" s="326">
        <v>0</v>
      </c>
      <c r="G81" s="326">
        <v>0</v>
      </c>
      <c r="H81" s="326">
        <v>0</v>
      </c>
      <c r="I81" s="265"/>
      <c r="J81" s="326">
        <v>-0.30000000000000004</v>
      </c>
      <c r="K81" s="326">
        <v>-0.30000000000000004</v>
      </c>
      <c r="L81" s="508"/>
      <c r="M81" s="507"/>
      <c r="N81" s="256"/>
      <c r="O81" s="256"/>
      <c r="P81" s="256"/>
      <c r="Q81" s="256"/>
      <c r="R81" s="256"/>
      <c r="S81" s="256"/>
      <c r="T81" s="256"/>
      <c r="U81" s="256"/>
      <c r="V81" s="256"/>
      <c r="W81" s="256"/>
    </row>
    <row r="82" spans="1:23">
      <c r="A82" s="314" t="s">
        <v>221</v>
      </c>
      <c r="B82" s="295" t="s">
        <v>120</v>
      </c>
      <c r="C82" s="104" t="s">
        <v>228</v>
      </c>
      <c r="D82" s="326">
        <v>-0.30000000000000004</v>
      </c>
      <c r="E82" s="326">
        <v>-0.30000000000000004</v>
      </c>
      <c r="F82" s="326">
        <v>-0.30000000000000004</v>
      </c>
      <c r="G82" s="326">
        <v>-0.30000000000000004</v>
      </c>
      <c r="H82" s="326">
        <v>-0.30000000000000004</v>
      </c>
      <c r="I82" s="265"/>
      <c r="J82" s="326">
        <v>-0.30000000000000004</v>
      </c>
      <c r="K82" s="326">
        <v>-1.5</v>
      </c>
      <c r="L82" s="508"/>
      <c r="M82" s="507"/>
      <c r="N82" s="256"/>
      <c r="O82" s="256"/>
      <c r="P82" s="256"/>
      <c r="Q82" s="256"/>
      <c r="R82" s="256"/>
      <c r="S82" s="256"/>
      <c r="T82" s="256"/>
      <c r="U82" s="256"/>
      <c r="V82" s="256"/>
      <c r="W82" s="256"/>
    </row>
    <row r="83" spans="1:23">
      <c r="A83" s="314" t="s">
        <v>222</v>
      </c>
      <c r="B83" s="295"/>
      <c r="C83" s="104" t="s">
        <v>228</v>
      </c>
      <c r="D83" s="326">
        <v>0</v>
      </c>
      <c r="E83" s="326">
        <v>0</v>
      </c>
      <c r="F83" s="326">
        <v>0</v>
      </c>
      <c r="G83" s="326">
        <v>0</v>
      </c>
      <c r="H83" s="326">
        <v>0</v>
      </c>
      <c r="I83" s="265"/>
      <c r="J83" s="326">
        <v>0</v>
      </c>
      <c r="K83" s="326">
        <v>0</v>
      </c>
      <c r="L83" s="508"/>
      <c r="M83" s="507"/>
      <c r="N83" s="256"/>
      <c r="O83" s="256"/>
      <c r="P83" s="256"/>
      <c r="Q83" s="256"/>
      <c r="R83" s="256"/>
      <c r="S83" s="256"/>
      <c r="T83" s="256"/>
      <c r="U83" s="256"/>
      <c r="V83" s="256"/>
      <c r="W83" s="256"/>
    </row>
    <row r="84" spans="1:23">
      <c r="A84" s="314" t="s">
        <v>223</v>
      </c>
      <c r="B84" s="295"/>
      <c r="C84" s="104" t="s">
        <v>228</v>
      </c>
      <c r="D84" s="326">
        <v>0</v>
      </c>
      <c r="E84" s="326">
        <v>0</v>
      </c>
      <c r="F84" s="326">
        <v>0</v>
      </c>
      <c r="G84" s="326">
        <v>0</v>
      </c>
      <c r="H84" s="326">
        <v>0</v>
      </c>
      <c r="I84" s="265"/>
      <c r="J84" s="326">
        <v>0</v>
      </c>
      <c r="K84" s="326">
        <v>0</v>
      </c>
      <c r="L84" s="508"/>
      <c r="M84" s="507"/>
      <c r="N84" s="256"/>
      <c r="O84" s="256"/>
      <c r="P84" s="256"/>
      <c r="Q84" s="256"/>
      <c r="R84" s="256"/>
      <c r="S84" s="256"/>
      <c r="T84" s="256"/>
      <c r="U84" s="256"/>
      <c r="V84" s="256"/>
      <c r="W84" s="256"/>
    </row>
    <row r="85" spans="1:23">
      <c r="A85" s="314" t="s">
        <v>224</v>
      </c>
      <c r="B85" s="295"/>
      <c r="C85" s="104" t="s">
        <v>228</v>
      </c>
      <c r="D85" s="326">
        <v>0</v>
      </c>
      <c r="E85" s="326">
        <v>0</v>
      </c>
      <c r="F85" s="326">
        <v>0</v>
      </c>
      <c r="G85" s="326">
        <v>0</v>
      </c>
      <c r="H85" s="326">
        <v>0</v>
      </c>
      <c r="I85" s="265"/>
      <c r="J85" s="326">
        <v>0</v>
      </c>
      <c r="K85" s="326">
        <v>0</v>
      </c>
      <c r="L85" s="508"/>
      <c r="M85" s="507"/>
      <c r="N85" s="256"/>
      <c r="O85" s="256"/>
      <c r="P85" s="256"/>
      <c r="Q85" s="256"/>
      <c r="R85" s="256"/>
      <c r="S85" s="256"/>
      <c r="T85" s="256"/>
      <c r="U85" s="256"/>
      <c r="V85" s="256"/>
      <c r="W85" s="256"/>
    </row>
    <row r="86" spans="1:23">
      <c r="A86" s="314" t="s">
        <v>225</v>
      </c>
      <c r="B86" s="295"/>
      <c r="C86" s="104" t="s">
        <v>228</v>
      </c>
      <c r="D86" s="326">
        <v>0</v>
      </c>
      <c r="E86" s="326">
        <v>0</v>
      </c>
      <c r="F86" s="326">
        <v>0</v>
      </c>
      <c r="G86" s="326">
        <v>0</v>
      </c>
      <c r="H86" s="326">
        <v>0</v>
      </c>
      <c r="I86" s="265"/>
      <c r="J86" s="326">
        <v>0</v>
      </c>
      <c r="K86" s="326">
        <v>0</v>
      </c>
      <c r="L86" s="297"/>
      <c r="M86" s="265"/>
      <c r="N86" s="256"/>
      <c r="O86" s="256"/>
      <c r="P86" s="256"/>
      <c r="Q86" s="256"/>
      <c r="R86" s="256"/>
      <c r="S86" s="256"/>
      <c r="T86" s="256"/>
      <c r="U86" s="256"/>
      <c r="V86" s="256"/>
      <c r="W86" s="256"/>
    </row>
    <row r="87" spans="1:23">
      <c r="A87" s="314" t="s">
        <v>226</v>
      </c>
      <c r="B87" s="295"/>
      <c r="C87" s="104" t="s">
        <v>228</v>
      </c>
      <c r="D87" s="326">
        <v>0</v>
      </c>
      <c r="E87" s="326">
        <v>0</v>
      </c>
      <c r="F87" s="326">
        <v>0</v>
      </c>
      <c r="G87" s="326">
        <v>0</v>
      </c>
      <c r="H87" s="326">
        <v>0</v>
      </c>
      <c r="I87" s="265"/>
      <c r="J87" s="326">
        <v>0</v>
      </c>
      <c r="K87" s="326">
        <v>0</v>
      </c>
      <c r="L87" s="297"/>
      <c r="M87" s="265"/>
      <c r="N87" s="256"/>
      <c r="O87" s="256"/>
      <c r="P87" s="256"/>
      <c r="Q87" s="256"/>
      <c r="R87" s="256"/>
      <c r="S87" s="256"/>
      <c r="T87" s="256"/>
      <c r="U87" s="256"/>
      <c r="V87" s="256"/>
      <c r="W87" s="256"/>
    </row>
    <row r="88" spans="1:23">
      <c r="B88" s="295" t="s">
        <v>121</v>
      </c>
      <c r="C88" s="104" t="s">
        <v>228</v>
      </c>
      <c r="D88" s="326">
        <v>-0.92766155865689615</v>
      </c>
      <c r="E88" s="326">
        <v>0</v>
      </c>
      <c r="F88" s="326">
        <v>0</v>
      </c>
      <c r="G88" s="326">
        <v>0</v>
      </c>
      <c r="H88" s="326">
        <v>0</v>
      </c>
      <c r="I88" s="265"/>
      <c r="J88" s="326">
        <v>-0.92766155865689615</v>
      </c>
      <c r="K88" s="326">
        <v>-0.92766155865689615</v>
      </c>
      <c r="L88" s="508"/>
      <c r="M88" s="507"/>
      <c r="N88" s="256"/>
      <c r="O88" s="256"/>
      <c r="P88" s="256"/>
      <c r="Q88" s="256"/>
      <c r="R88" s="256"/>
      <c r="S88" s="256"/>
      <c r="T88" s="256"/>
      <c r="U88" s="256"/>
      <c r="V88" s="256"/>
      <c r="W88" s="256"/>
    </row>
    <row r="89" spans="1:23">
      <c r="A89" s="344"/>
      <c r="B89" s="300" t="s">
        <v>122</v>
      </c>
      <c r="C89" s="104" t="s">
        <v>228</v>
      </c>
      <c r="D89" s="328">
        <v>222.58972079656616</v>
      </c>
      <c r="E89" s="328">
        <v>244.61476983692307</v>
      </c>
      <c r="F89" s="328">
        <v>187.94278960020677</v>
      </c>
      <c r="G89" s="328">
        <v>195.62746034007978</v>
      </c>
      <c r="H89" s="328">
        <v>213.40672224574303</v>
      </c>
      <c r="I89" s="329"/>
      <c r="J89" s="328">
        <v>222.58972079656616</v>
      </c>
      <c r="K89" s="328">
        <v>1064.1814628195186</v>
      </c>
      <c r="L89" s="509"/>
      <c r="M89" s="507"/>
      <c r="N89" s="256"/>
      <c r="O89" s="256"/>
      <c r="P89" s="256"/>
      <c r="Q89" s="256"/>
      <c r="R89" s="256"/>
      <c r="S89" s="256"/>
      <c r="T89" s="256"/>
      <c r="U89" s="256"/>
      <c r="V89" s="256"/>
      <c r="W89" s="256"/>
    </row>
    <row r="90" spans="1:23">
      <c r="B90" s="295" t="s">
        <v>123</v>
      </c>
      <c r="C90" s="104" t="s">
        <v>228</v>
      </c>
      <c r="D90" s="326">
        <v>190.63985705525002</v>
      </c>
      <c r="E90" s="326">
        <v>42.610077094777807</v>
      </c>
      <c r="F90" s="326">
        <v>0.46337973235147345</v>
      </c>
      <c r="G90" s="326">
        <v>5.2409547984906082</v>
      </c>
      <c r="H90" s="326">
        <v>12.380457710052442</v>
      </c>
      <c r="I90" s="265"/>
      <c r="J90" s="326">
        <v>190.63985705525002</v>
      </c>
      <c r="K90" s="326">
        <v>251.33472639092238</v>
      </c>
      <c r="L90" s="508"/>
      <c r="M90" s="507"/>
      <c r="N90" s="256"/>
      <c r="O90" s="256"/>
      <c r="P90" s="256"/>
      <c r="Q90" s="256"/>
      <c r="R90" s="256"/>
      <c r="S90" s="256"/>
      <c r="T90" s="256"/>
      <c r="U90" s="256"/>
      <c r="V90" s="256"/>
      <c r="W90" s="256"/>
    </row>
    <row r="91" spans="1:23">
      <c r="B91" s="295" t="s">
        <v>179</v>
      </c>
      <c r="C91" s="104" t="s">
        <v>228</v>
      </c>
      <c r="D91" s="326">
        <v>-3.5995673832530599</v>
      </c>
      <c r="E91" s="326">
        <v>6.3144078992722079</v>
      </c>
      <c r="F91" s="326">
        <v>4.6353903507259684</v>
      </c>
      <c r="G91" s="326">
        <v>-1.4740986095551807</v>
      </c>
      <c r="H91" s="326">
        <v>-2.2865651474404061</v>
      </c>
      <c r="I91" s="265"/>
      <c r="J91" s="326">
        <v>-3.5995673832530599</v>
      </c>
      <c r="K91" s="326">
        <v>3.5895671097495301</v>
      </c>
      <c r="L91" s="508"/>
      <c r="M91" s="507"/>
      <c r="N91" s="256"/>
      <c r="O91" s="256"/>
      <c r="P91" s="256"/>
      <c r="Q91" s="256"/>
      <c r="R91" s="256"/>
      <c r="S91" s="256"/>
      <c r="T91" s="256"/>
      <c r="U91" s="256"/>
      <c r="V91" s="256"/>
      <c r="W91" s="256"/>
    </row>
    <row r="92" spans="1:23">
      <c r="B92" s="295" t="s">
        <v>124</v>
      </c>
      <c r="C92" s="104" t="s">
        <v>228</v>
      </c>
      <c r="D92" s="326">
        <v>-19.155104889240349</v>
      </c>
      <c r="E92" s="326">
        <v>20.977345497032022</v>
      </c>
      <c r="F92" s="326">
        <v>-17.862154252887475</v>
      </c>
      <c r="G92" s="326">
        <v>22.870282964601358</v>
      </c>
      <c r="H92" s="326">
        <v>16.203473597806148</v>
      </c>
      <c r="I92" s="265"/>
      <c r="J92" s="326">
        <v>-19.155104889240349</v>
      </c>
      <c r="K92" s="326">
        <v>23.033842917311702</v>
      </c>
      <c r="L92" s="508"/>
      <c r="M92" s="507"/>
      <c r="N92" s="256"/>
      <c r="O92" s="256"/>
      <c r="P92" s="256"/>
      <c r="Q92" s="256"/>
      <c r="R92" s="256"/>
      <c r="S92" s="256"/>
      <c r="T92" s="256"/>
      <c r="U92" s="256"/>
      <c r="V92" s="256"/>
      <c r="W92" s="256"/>
    </row>
    <row r="93" spans="1:23">
      <c r="B93" s="295" t="s">
        <v>180</v>
      </c>
      <c r="C93" s="104" t="s">
        <v>228</v>
      </c>
      <c r="D93" s="326">
        <v>0.89989184581326498</v>
      </c>
      <c r="E93" s="326">
        <v>-1.5786019748180511</v>
      </c>
      <c r="F93" s="326">
        <v>-1.1588475876814961</v>
      </c>
      <c r="G93" s="326">
        <v>0.36852465238879439</v>
      </c>
      <c r="H93" s="326">
        <v>0.57164128686010329</v>
      </c>
      <c r="I93" s="265"/>
      <c r="J93" s="326">
        <v>0.89989184581326498</v>
      </c>
      <c r="K93" s="326">
        <v>-0.89739177743738452</v>
      </c>
      <c r="L93" s="508"/>
      <c r="M93" s="507"/>
      <c r="N93" s="256"/>
      <c r="O93" s="256"/>
      <c r="P93" s="256"/>
      <c r="Q93" s="256"/>
      <c r="R93" s="256"/>
      <c r="S93" s="256"/>
      <c r="T93" s="256"/>
      <c r="U93" s="256"/>
      <c r="V93" s="256"/>
      <c r="W93" s="256"/>
    </row>
    <row r="94" spans="1:23">
      <c r="A94" s="344"/>
      <c r="B94" s="300" t="s">
        <v>125</v>
      </c>
      <c r="C94" s="104" t="s">
        <v>228</v>
      </c>
      <c r="D94" s="328">
        <v>391.37479742513602</v>
      </c>
      <c r="E94" s="328">
        <v>312.93799835318708</v>
      </c>
      <c r="F94" s="328">
        <v>174.02055784271528</v>
      </c>
      <c r="G94" s="328">
        <v>222.63312414600531</v>
      </c>
      <c r="H94" s="328">
        <v>240.27572969302128</v>
      </c>
      <c r="I94" s="329"/>
      <c r="J94" s="328">
        <v>391.37479742513602</v>
      </c>
      <c r="K94" s="328">
        <v>1341.2422074600647</v>
      </c>
      <c r="L94" s="509"/>
      <c r="M94" s="507"/>
      <c r="N94" s="256"/>
      <c r="O94" s="256"/>
      <c r="P94" s="256"/>
      <c r="Q94" s="256"/>
      <c r="R94" s="256"/>
      <c r="S94" s="256"/>
      <c r="T94" s="256"/>
      <c r="U94" s="256"/>
      <c r="V94" s="256"/>
      <c r="W94" s="256"/>
    </row>
    <row r="95" spans="1:23">
      <c r="B95" s="295"/>
      <c r="C95" s="104" t="s">
        <v>228</v>
      </c>
      <c r="D95" s="305"/>
      <c r="E95" s="256"/>
      <c r="F95" s="256"/>
      <c r="G95" s="256"/>
      <c r="H95" s="256"/>
      <c r="I95" s="265"/>
      <c r="J95" s="265"/>
      <c r="K95" s="256"/>
      <c r="L95" s="507"/>
      <c r="M95" s="507"/>
      <c r="N95" s="256"/>
      <c r="O95" s="256"/>
      <c r="P95" s="256"/>
      <c r="Q95" s="256"/>
      <c r="R95" s="256"/>
      <c r="S95" s="256"/>
      <c r="T95" s="256"/>
      <c r="U95" s="256"/>
      <c r="V95" s="256"/>
      <c r="W95" s="256"/>
    </row>
    <row r="96" spans="1:23">
      <c r="B96" s="295" t="s">
        <v>181</v>
      </c>
      <c r="C96" s="104" t="s">
        <v>228</v>
      </c>
      <c r="D96" s="326">
        <v>2564.854582616133</v>
      </c>
      <c r="E96" s="326">
        <v>2632.9639390889024</v>
      </c>
      <c r="F96" s="326">
        <v>2710.4921644274264</v>
      </c>
      <c r="G96" s="326">
        <v>2774.5059708495946</v>
      </c>
      <c r="H96" s="326">
        <v>2831.7075364003467</v>
      </c>
      <c r="I96" s="508"/>
      <c r="J96" s="507"/>
      <c r="K96" s="256"/>
      <c r="L96" s="507"/>
      <c r="M96" s="507"/>
      <c r="N96" s="256"/>
      <c r="O96" s="256"/>
      <c r="P96" s="256"/>
      <c r="Q96" s="256"/>
      <c r="R96" s="256"/>
      <c r="S96" s="256"/>
      <c r="T96" s="256"/>
      <c r="U96" s="256"/>
      <c r="V96" s="256"/>
      <c r="W96" s="256"/>
    </row>
    <row r="97" spans="1:23">
      <c r="B97" s="295" t="s">
        <v>182</v>
      </c>
      <c r="C97" s="104" t="s">
        <v>228</v>
      </c>
      <c r="D97" s="326">
        <v>2845.7219304690793</v>
      </c>
      <c r="E97" s="326">
        <v>2913.1086371606525</v>
      </c>
      <c r="F97" s="326">
        <v>2844.2147717501412</v>
      </c>
      <c r="G97" s="326">
        <v>2723.128794386811</v>
      </c>
      <c r="H97" s="326">
        <v>2747.1854885362873</v>
      </c>
      <c r="I97" s="508"/>
      <c r="J97" s="507"/>
      <c r="K97" s="256"/>
      <c r="L97" s="507"/>
      <c r="M97" s="507"/>
      <c r="N97" s="256"/>
      <c r="O97" s="256"/>
      <c r="P97" s="256"/>
      <c r="Q97" s="256"/>
      <c r="R97" s="256"/>
      <c r="S97" s="256"/>
      <c r="T97" s="256"/>
      <c r="U97" s="256"/>
      <c r="V97" s="256"/>
      <c r="W97" s="256"/>
    </row>
    <row r="98" spans="1:23">
      <c r="A98" s="342"/>
      <c r="B98" s="265"/>
      <c r="C98" s="256"/>
      <c r="D98" s="256"/>
      <c r="E98" s="256"/>
      <c r="F98" s="256"/>
      <c r="G98" s="256"/>
      <c r="H98" s="256"/>
      <c r="I98" s="505"/>
      <c r="J98" s="505"/>
      <c r="K98" s="256"/>
      <c r="L98" s="507"/>
      <c r="M98" s="507"/>
      <c r="N98" s="256"/>
      <c r="O98" s="256"/>
      <c r="P98" s="256"/>
      <c r="Q98" s="256"/>
      <c r="R98" s="256"/>
      <c r="S98" s="256"/>
      <c r="T98" s="256"/>
      <c r="U98" s="256"/>
      <c r="V98" s="256"/>
      <c r="W98" s="256"/>
    </row>
    <row r="99" spans="1:23">
      <c r="A99" s="342"/>
      <c r="B99" s="265"/>
      <c r="C99" s="256"/>
      <c r="D99" s="256"/>
      <c r="E99" s="256"/>
      <c r="F99" s="256"/>
      <c r="G99" s="256"/>
      <c r="H99" s="256"/>
      <c r="I99" s="505"/>
      <c r="J99" s="505"/>
      <c r="K99" s="256"/>
      <c r="L99" s="507"/>
      <c r="M99" s="507"/>
      <c r="N99" s="256"/>
      <c r="O99" s="256"/>
      <c r="P99" s="256"/>
      <c r="Q99" s="256"/>
      <c r="R99" s="256"/>
      <c r="S99" s="256"/>
      <c r="T99" s="256"/>
      <c r="U99" s="256"/>
      <c r="V99" s="256"/>
      <c r="W99" s="256"/>
    </row>
    <row r="100" spans="1:23">
      <c r="A100" s="342"/>
      <c r="B100" s="306" t="s">
        <v>247</v>
      </c>
      <c r="D100" s="307" t="str">
        <f>ED!D100</f>
        <v>Actuals</v>
      </c>
      <c r="E100" s="307" t="str">
        <f>ED!E100</f>
        <v>Forecast</v>
      </c>
      <c r="F100" s="307" t="str">
        <f>ED!F100</f>
        <v>Forecast</v>
      </c>
      <c r="G100" s="307" t="str">
        <f>ED!G100</f>
        <v>Forecast</v>
      </c>
      <c r="H100" s="307" t="str">
        <f>ED!H100</f>
        <v>Forecast</v>
      </c>
      <c r="L100" s="507"/>
      <c r="M100" s="507"/>
      <c r="N100" s="256"/>
      <c r="O100" s="256"/>
      <c r="P100" s="256"/>
      <c r="Q100" s="256"/>
      <c r="R100" s="256"/>
      <c r="S100" s="256"/>
      <c r="T100" s="256"/>
      <c r="U100" s="256"/>
      <c r="V100" s="256"/>
      <c r="W100" s="256"/>
    </row>
    <row r="101" spans="1:23" ht="22.8">
      <c r="A101" s="342"/>
      <c r="B101" s="308"/>
      <c r="D101" s="309">
        <f>ED!D101</f>
        <v>2024</v>
      </c>
      <c r="E101" s="309">
        <f>ED!E101</f>
        <v>2025</v>
      </c>
      <c r="F101" s="309">
        <f>ED!F101</f>
        <v>2026</v>
      </c>
      <c r="G101" s="309">
        <f>ED!G101</f>
        <v>2027</v>
      </c>
      <c r="H101" s="309">
        <f>ED!H101</f>
        <v>2028</v>
      </c>
      <c r="J101" s="310" t="str">
        <f>ED!J101</f>
        <v>Cumulative to 2024</v>
      </c>
      <c r="K101" s="309" t="str">
        <f>ED!K101</f>
        <v>RIIO-2 period</v>
      </c>
      <c r="L101" s="504"/>
      <c r="M101" s="505"/>
      <c r="N101" s="256"/>
      <c r="O101" s="256"/>
      <c r="P101" s="256"/>
      <c r="Q101" s="256"/>
      <c r="R101" s="256"/>
      <c r="S101" s="256"/>
      <c r="T101" s="256"/>
      <c r="U101" s="256"/>
      <c r="V101" s="256"/>
      <c r="W101" s="256"/>
    </row>
    <row r="102" spans="1:23">
      <c r="A102" s="342"/>
      <c r="B102" s="308" t="s">
        <v>154</v>
      </c>
      <c r="C102" s="104" t="s">
        <v>228</v>
      </c>
      <c r="D102" s="337">
        <f>SUM(D111,D120,D129)</f>
        <v>870.3335008507247</v>
      </c>
      <c r="E102" s="337">
        <f>SUM(E111,E120,E129)</f>
        <v>970.88756835417212</v>
      </c>
      <c r="F102" s="337">
        <f>SUM(F111,F120,F129)</f>
        <v>959.79396010546486</v>
      </c>
      <c r="G102" s="337">
        <f>SUM(G111,G120,G129)</f>
        <v>900.8127141151881</v>
      </c>
      <c r="H102" s="337">
        <f>SUM(H111,H120,H129)</f>
        <v>874.53501587384221</v>
      </c>
      <c r="I102" s="308"/>
      <c r="J102" s="337">
        <f>SUM(J111,J120,J129)</f>
        <v>870.3335008507247</v>
      </c>
      <c r="K102" s="337">
        <f>SUM(K111,K120,K129)</f>
        <v>4576.3627592993926</v>
      </c>
      <c r="L102" s="504"/>
      <c r="M102" s="505"/>
      <c r="N102" s="256"/>
      <c r="O102" s="256"/>
      <c r="P102" s="256"/>
      <c r="Q102" s="256"/>
      <c r="R102" s="256"/>
      <c r="S102" s="256"/>
      <c r="T102" s="256"/>
      <c r="U102" s="256"/>
      <c r="V102" s="256"/>
      <c r="W102" s="256"/>
    </row>
    <row r="103" spans="1:23" ht="30" customHeight="1">
      <c r="A103" s="342"/>
      <c r="B103" s="312" t="s">
        <v>155</v>
      </c>
      <c r="C103" s="104" t="s">
        <v>228</v>
      </c>
      <c r="D103" s="337">
        <f>SUM(D112,D121,D130,)</f>
        <v>1009.8302248430598</v>
      </c>
      <c r="E103" s="337">
        <f t="shared" ref="E103:H103" si="14">SUM(E112,E121,E130,)</f>
        <v>1097.4577836549679</v>
      </c>
      <c r="F103" s="337">
        <f t="shared" si="14"/>
        <v>980.82622642005572</v>
      </c>
      <c r="G103" s="337">
        <f t="shared" si="14"/>
        <v>927.48403836327657</v>
      </c>
      <c r="H103" s="337">
        <f t="shared" si="14"/>
        <v>909.64146109425019</v>
      </c>
      <c r="I103" s="308"/>
      <c r="J103" s="337">
        <f t="shared" ref="J103:K103" si="15">SUM(J112,J121,J130,)</f>
        <v>1009.8302248430598</v>
      </c>
      <c r="K103" s="337">
        <f t="shared" si="15"/>
        <v>4925.2397343756093</v>
      </c>
      <c r="L103" s="504"/>
      <c r="M103" s="505"/>
      <c r="N103" s="256"/>
      <c r="O103" s="256"/>
      <c r="P103" s="256"/>
      <c r="Q103" s="256"/>
      <c r="R103" s="256"/>
      <c r="S103" s="256"/>
      <c r="T103" s="256"/>
      <c r="U103" s="256"/>
      <c r="V103" s="256"/>
      <c r="W103" s="256"/>
    </row>
    <row r="104" spans="1:23">
      <c r="A104" s="342"/>
      <c r="B104" s="306" t="s">
        <v>156</v>
      </c>
      <c r="C104" s="104" t="s">
        <v>228</v>
      </c>
      <c r="D104" s="150">
        <f>SUM(D113,D122,D131)</f>
        <v>139.49672399233515</v>
      </c>
      <c r="E104" s="150">
        <f t="shared" ref="E104:H104" si="16">SUM(E113,E122,E131)</f>
        <v>126.57021530079579</v>
      </c>
      <c r="F104" s="150">
        <f t="shared" si="16"/>
        <v>21.03226631459081</v>
      </c>
      <c r="G104" s="150">
        <f t="shared" si="16"/>
        <v>26.671324248088524</v>
      </c>
      <c r="H104" s="150">
        <f t="shared" si="16"/>
        <v>35.106445220408034</v>
      </c>
      <c r="I104" s="306"/>
      <c r="J104" s="150">
        <f t="shared" ref="J104:K104" si="17">SUM(J113,J122,J131)</f>
        <v>139.49672399233515</v>
      </c>
      <c r="K104" s="150">
        <f t="shared" si="17"/>
        <v>348.87697507621783</v>
      </c>
      <c r="L104" s="504"/>
      <c r="M104" s="505"/>
      <c r="N104" s="256"/>
      <c r="O104" s="256"/>
      <c r="P104" s="256"/>
      <c r="Q104" s="256"/>
      <c r="R104" s="256"/>
      <c r="S104" s="256"/>
      <c r="T104" s="256"/>
      <c r="U104" s="256"/>
      <c r="V104" s="256"/>
      <c r="W104" s="256"/>
    </row>
    <row r="105" spans="1:23">
      <c r="A105" s="342"/>
      <c r="B105" s="308" t="s">
        <v>157</v>
      </c>
      <c r="C105" s="104" t="s">
        <v>228</v>
      </c>
      <c r="D105" s="337">
        <f>SUM(D114,D123,D132)</f>
        <v>0</v>
      </c>
      <c r="E105" s="337">
        <f t="shared" ref="E105:H105" si="18">SUM(E114,E123,E132)</f>
        <v>0</v>
      </c>
      <c r="F105" s="337">
        <f t="shared" si="18"/>
        <v>0</v>
      </c>
      <c r="G105" s="337">
        <f t="shared" si="18"/>
        <v>0</v>
      </c>
      <c r="H105" s="337">
        <f t="shared" si="18"/>
        <v>0</v>
      </c>
      <c r="I105" s="308"/>
      <c r="J105" s="337">
        <f t="shared" ref="J105:K105" si="19">SUM(J114,J123,J132)</f>
        <v>0</v>
      </c>
      <c r="K105" s="337">
        <f t="shared" si="19"/>
        <v>0</v>
      </c>
      <c r="L105" s="504"/>
      <c r="M105" s="505"/>
      <c r="N105" s="256"/>
      <c r="O105" s="256"/>
      <c r="P105" s="256"/>
      <c r="Q105" s="256"/>
      <c r="R105" s="256"/>
      <c r="S105" s="256"/>
      <c r="T105" s="256"/>
      <c r="U105" s="256"/>
      <c r="V105" s="256"/>
      <c r="W105" s="256"/>
    </row>
    <row r="106" spans="1:23">
      <c r="A106" s="342"/>
      <c r="B106" s="306" t="s">
        <v>158</v>
      </c>
      <c r="C106" s="104" t="s">
        <v>228</v>
      </c>
      <c r="D106" s="150">
        <f>SUM(D115,D124,D133)</f>
        <v>139.49672399233515</v>
      </c>
      <c r="E106" s="150">
        <f t="shared" ref="E106:H106" si="20">SUM(E115,E124,E133)</f>
        <v>126.57021530079579</v>
      </c>
      <c r="F106" s="150">
        <f t="shared" si="20"/>
        <v>21.03226631459081</v>
      </c>
      <c r="G106" s="150">
        <f t="shared" si="20"/>
        <v>26.671324248088524</v>
      </c>
      <c r="H106" s="150">
        <f t="shared" si="20"/>
        <v>35.106445220408034</v>
      </c>
      <c r="I106" s="306"/>
      <c r="J106" s="150">
        <f t="shared" ref="J106:K106" si="21">SUM(J115,J124,J133)</f>
        <v>139.49672399233515</v>
      </c>
      <c r="K106" s="150">
        <f t="shared" si="21"/>
        <v>348.87697507621783</v>
      </c>
      <c r="L106" s="506"/>
      <c r="M106" s="505"/>
      <c r="N106" s="256"/>
      <c r="O106" s="256"/>
      <c r="P106" s="256"/>
      <c r="Q106" s="256"/>
      <c r="R106" s="256"/>
      <c r="S106" s="256"/>
      <c r="T106" s="256"/>
      <c r="U106" s="256"/>
      <c r="V106" s="256"/>
      <c r="W106" s="256"/>
    </row>
    <row r="107" spans="1:23">
      <c r="A107" s="342"/>
      <c r="B107" s="306" t="s">
        <v>159</v>
      </c>
      <c r="C107" s="314" t="s">
        <v>163</v>
      </c>
      <c r="D107" s="151">
        <f>D106/D103</f>
        <v>0.13813878864045159</v>
      </c>
      <c r="E107" s="151">
        <f t="shared" ref="E107:H107" si="22">E106/E103</f>
        <v>0.1153303727814176</v>
      </c>
      <c r="F107" s="151">
        <f t="shared" si="22"/>
        <v>2.1443417547425347E-2</v>
      </c>
      <c r="G107" s="151">
        <f t="shared" si="22"/>
        <v>2.8756639623852925E-2</v>
      </c>
      <c r="H107" s="151">
        <f t="shared" si="22"/>
        <v>3.8593717109350813E-2</v>
      </c>
      <c r="J107" s="151">
        <f>J106/J103</f>
        <v>0.13813878864045159</v>
      </c>
      <c r="K107" s="151">
        <f>K106/K103</f>
        <v>7.0834516468556485E-2</v>
      </c>
      <c r="L107" s="506"/>
      <c r="M107" s="505"/>
      <c r="N107" s="256"/>
      <c r="O107" s="256"/>
      <c r="P107" s="256"/>
      <c r="Q107" s="256"/>
      <c r="R107" s="256"/>
      <c r="S107" s="256"/>
      <c r="T107" s="256"/>
      <c r="U107" s="256"/>
      <c r="V107" s="256"/>
      <c r="W107" s="256"/>
    </row>
    <row r="109" spans="1:23">
      <c r="B109" s="306" t="s">
        <v>248</v>
      </c>
      <c r="D109" s="307" t="str">
        <f>D100</f>
        <v>Actuals</v>
      </c>
      <c r="E109" s="307" t="str">
        <f t="shared" ref="E109:K110" si="23">E100</f>
        <v>Forecast</v>
      </c>
      <c r="F109" s="307" t="str">
        <f t="shared" si="23"/>
        <v>Forecast</v>
      </c>
      <c r="G109" s="307" t="str">
        <f t="shared" si="23"/>
        <v>Forecast</v>
      </c>
      <c r="H109" s="307" t="str">
        <f t="shared" si="23"/>
        <v>Forecast</v>
      </c>
      <c r="I109" s="308"/>
    </row>
    <row r="110" spans="1:23" ht="22.8">
      <c r="B110" s="308"/>
      <c r="D110" s="309">
        <f>D101</f>
        <v>2024</v>
      </c>
      <c r="E110" s="309">
        <f t="shared" si="23"/>
        <v>2025</v>
      </c>
      <c r="F110" s="309">
        <f t="shared" si="23"/>
        <v>2026</v>
      </c>
      <c r="G110" s="309">
        <f t="shared" si="23"/>
        <v>2027</v>
      </c>
      <c r="H110" s="309">
        <f t="shared" si="23"/>
        <v>2028</v>
      </c>
      <c r="I110" s="308"/>
      <c r="J110" s="310" t="str">
        <f t="shared" si="23"/>
        <v>Cumulative to 2024</v>
      </c>
      <c r="K110" s="310" t="str">
        <f t="shared" si="23"/>
        <v>RIIO-2 period</v>
      </c>
    </row>
    <row r="111" spans="1:23">
      <c r="B111" s="308" t="s">
        <v>154</v>
      </c>
      <c r="C111" s="104" t="s">
        <v>228</v>
      </c>
      <c r="D111" s="326">
        <v>397.17617025261961</v>
      </c>
      <c r="E111" s="326">
        <v>433.43662072657401</v>
      </c>
      <c r="F111" s="326">
        <v>420.08798175501084</v>
      </c>
      <c r="G111" s="326">
        <v>408.00121461576765</v>
      </c>
      <c r="H111" s="326">
        <v>401.77914404782712</v>
      </c>
      <c r="I111" s="308"/>
      <c r="J111" s="326">
        <v>397.17617025261961</v>
      </c>
      <c r="K111" s="326">
        <v>2060.4811313977993</v>
      </c>
    </row>
    <row r="112" spans="1:23" ht="22.8">
      <c r="B112" s="312" t="s">
        <v>155</v>
      </c>
      <c r="C112" s="104" t="s">
        <v>228</v>
      </c>
      <c r="D112" s="326">
        <v>467.44066675228208</v>
      </c>
      <c r="E112" s="326">
        <v>494.93208370577645</v>
      </c>
      <c r="F112" s="326">
        <v>423.98592967543641</v>
      </c>
      <c r="G112" s="326">
        <v>414.24827066621867</v>
      </c>
      <c r="H112" s="326">
        <v>411.29789615237752</v>
      </c>
      <c r="I112" s="308"/>
      <c r="J112" s="326">
        <v>467.44066675228208</v>
      </c>
      <c r="K112" s="326">
        <v>2211.9048469520908</v>
      </c>
    </row>
    <row r="113" spans="2:11">
      <c r="B113" s="306" t="s">
        <v>156</v>
      </c>
      <c r="C113" s="104" t="s">
        <v>228</v>
      </c>
      <c r="D113" s="326">
        <v>70.264496499662442</v>
      </c>
      <c r="E113" s="326">
        <v>61.495462979202408</v>
      </c>
      <c r="F113" s="326">
        <v>3.8979479204255618</v>
      </c>
      <c r="G113" s="326">
        <v>6.2470560504509756</v>
      </c>
      <c r="H113" s="326">
        <v>9.5187521045504297</v>
      </c>
      <c r="I113" s="308"/>
      <c r="J113" s="326">
        <v>70.264496499662442</v>
      </c>
      <c r="K113" s="326">
        <v>151.42371555429142</v>
      </c>
    </row>
    <row r="114" spans="2:11">
      <c r="B114" s="308" t="s">
        <v>157</v>
      </c>
      <c r="C114" s="104" t="s">
        <v>228</v>
      </c>
      <c r="D114" s="326">
        <v>0</v>
      </c>
      <c r="E114" s="326">
        <v>0</v>
      </c>
      <c r="F114" s="326">
        <v>0</v>
      </c>
      <c r="G114" s="326">
        <v>0</v>
      </c>
      <c r="H114" s="326">
        <v>0</v>
      </c>
      <c r="I114" s="308"/>
      <c r="J114" s="326">
        <v>0</v>
      </c>
      <c r="K114" s="326">
        <v>0</v>
      </c>
    </row>
    <row r="115" spans="2:11">
      <c r="B115" s="306" t="s">
        <v>158</v>
      </c>
      <c r="C115" s="104" t="s">
        <v>228</v>
      </c>
      <c r="D115" s="303">
        <f>D113+D114</f>
        <v>70.264496499662442</v>
      </c>
      <c r="E115" s="303">
        <f>E113+E114</f>
        <v>61.495462979202408</v>
      </c>
      <c r="F115" s="303">
        <f t="shared" ref="F115" si="24">F113+F114</f>
        <v>3.8979479204255618</v>
      </c>
      <c r="G115" s="303">
        <f>G113+G114</f>
        <v>6.2470560504509756</v>
      </c>
      <c r="H115" s="303">
        <f t="shared" ref="H115" si="25">H113+H114</f>
        <v>9.5187521045504297</v>
      </c>
      <c r="I115" s="308"/>
      <c r="J115" s="303">
        <f>J113+J114</f>
        <v>70.264496499662442</v>
      </c>
      <c r="K115" s="303">
        <f>K113+K114</f>
        <v>151.42371555429142</v>
      </c>
    </row>
    <row r="116" spans="2:11">
      <c r="B116" s="306" t="s">
        <v>159</v>
      </c>
      <c r="C116" s="314" t="s">
        <v>163</v>
      </c>
      <c r="D116" s="151">
        <f>D115/D112</f>
        <v>0.1503174659317752</v>
      </c>
      <c r="E116" s="151">
        <f>E115/E112</f>
        <v>0.12425030626173707</v>
      </c>
      <c r="F116" s="151">
        <f t="shared" ref="F116:H116" si="26">F115/F112</f>
        <v>9.1935784836290734E-3</v>
      </c>
      <c r="G116" s="151">
        <f t="shared" si="26"/>
        <v>1.5080463801101908E-2</v>
      </c>
      <c r="H116" s="151">
        <f t="shared" si="26"/>
        <v>2.3143206404887432E-2</v>
      </c>
      <c r="J116" s="151">
        <f>J115/J112</f>
        <v>0.1503174659317752</v>
      </c>
      <c r="K116" s="151">
        <f>K115/K112</f>
        <v>6.8458512473059924E-2</v>
      </c>
    </row>
    <row r="118" spans="2:11">
      <c r="B118" s="306" t="s">
        <v>249</v>
      </c>
      <c r="D118" s="307" t="str">
        <f>D109</f>
        <v>Actuals</v>
      </c>
      <c r="E118" s="307" t="str">
        <f t="shared" ref="E118:K119" si="27">E109</f>
        <v>Forecast</v>
      </c>
      <c r="F118" s="307" t="str">
        <f t="shared" si="27"/>
        <v>Forecast</v>
      </c>
      <c r="G118" s="307" t="str">
        <f t="shared" si="27"/>
        <v>Forecast</v>
      </c>
      <c r="H118" s="307" t="str">
        <f t="shared" si="27"/>
        <v>Forecast</v>
      </c>
      <c r="I118" s="308"/>
    </row>
    <row r="119" spans="2:11" ht="22.8">
      <c r="B119" s="308"/>
      <c r="D119" s="309">
        <f>D110</f>
        <v>2024</v>
      </c>
      <c r="E119" s="309">
        <f t="shared" si="27"/>
        <v>2025</v>
      </c>
      <c r="F119" s="309">
        <f t="shared" si="27"/>
        <v>2026</v>
      </c>
      <c r="G119" s="309">
        <f t="shared" si="27"/>
        <v>2027</v>
      </c>
      <c r="H119" s="309">
        <f t="shared" si="27"/>
        <v>2028</v>
      </c>
      <c r="I119" s="308"/>
      <c r="J119" s="310" t="str">
        <f t="shared" si="27"/>
        <v>Cumulative to 2024</v>
      </c>
      <c r="K119" s="310" t="str">
        <f t="shared" si="27"/>
        <v>RIIO-2 period</v>
      </c>
    </row>
    <row r="120" spans="2:11">
      <c r="B120" s="308" t="s">
        <v>154</v>
      </c>
      <c r="C120" s="104" t="s">
        <v>228</v>
      </c>
      <c r="D120" s="326">
        <v>223.45450043749361</v>
      </c>
      <c r="E120" s="326">
        <v>240.55324102072194</v>
      </c>
      <c r="F120" s="326">
        <v>251.609210150884</v>
      </c>
      <c r="G120" s="326">
        <v>232.46701961625934</v>
      </c>
      <c r="H120" s="326">
        <v>213.64948743180366</v>
      </c>
      <c r="I120" s="308"/>
      <c r="J120" s="326">
        <v>223.45450043749361</v>
      </c>
      <c r="K120" s="326">
        <v>1161.7334586571624</v>
      </c>
    </row>
    <row r="121" spans="2:11" ht="22.8">
      <c r="B121" s="312" t="s">
        <v>155</v>
      </c>
      <c r="C121" s="104" t="s">
        <v>228</v>
      </c>
      <c r="D121" s="326">
        <v>268.18057456145436</v>
      </c>
      <c r="E121" s="326">
        <v>281.77650081045329</v>
      </c>
      <c r="F121" s="326">
        <v>257.58678239899245</v>
      </c>
      <c r="G121" s="326">
        <v>236.95178730577072</v>
      </c>
      <c r="H121" s="326">
        <v>222.28295721092599</v>
      </c>
      <c r="I121" s="308"/>
      <c r="J121" s="326">
        <v>268.18057456145436</v>
      </c>
      <c r="K121" s="326">
        <v>1266.7786022875966</v>
      </c>
    </row>
    <row r="122" spans="2:11">
      <c r="B122" s="306" t="s">
        <v>156</v>
      </c>
      <c r="C122" s="104" t="s">
        <v>228</v>
      </c>
      <c r="D122" s="326">
        <v>44.726074123960757</v>
      </c>
      <c r="E122" s="326">
        <v>41.223259789731344</v>
      </c>
      <c r="F122" s="326">
        <v>5.9775722481084337</v>
      </c>
      <c r="G122" s="326">
        <v>4.4847676895114077</v>
      </c>
      <c r="H122" s="326">
        <v>8.6334697791223149</v>
      </c>
      <c r="I122" s="308"/>
      <c r="J122" s="326">
        <v>44.726074123960757</v>
      </c>
      <c r="K122" s="326">
        <v>105.04514363043437</v>
      </c>
    </row>
    <row r="123" spans="2:11">
      <c r="B123" s="308" t="s">
        <v>157</v>
      </c>
      <c r="C123" s="104" t="s">
        <v>228</v>
      </c>
      <c r="D123" s="326">
        <v>0</v>
      </c>
      <c r="E123" s="326">
        <v>0</v>
      </c>
      <c r="F123" s="326">
        <v>0</v>
      </c>
      <c r="G123" s="326">
        <v>0</v>
      </c>
      <c r="H123" s="326">
        <v>0</v>
      </c>
      <c r="I123" s="308"/>
      <c r="J123" s="326">
        <v>0</v>
      </c>
      <c r="K123" s="326">
        <v>0</v>
      </c>
    </row>
    <row r="124" spans="2:11">
      <c r="B124" s="306" t="s">
        <v>158</v>
      </c>
      <c r="C124" s="104" t="s">
        <v>228</v>
      </c>
      <c r="D124" s="303">
        <f>D122+D123</f>
        <v>44.726074123960757</v>
      </c>
      <c r="E124" s="303">
        <f>E122+E123</f>
        <v>41.223259789731344</v>
      </c>
      <c r="F124" s="303">
        <f t="shared" ref="F124" si="28">F122+F123</f>
        <v>5.9775722481084337</v>
      </c>
      <c r="G124" s="303">
        <f>G122+G123</f>
        <v>4.4847676895114077</v>
      </c>
      <c r="H124" s="303">
        <f t="shared" ref="H124" si="29">H122+H123</f>
        <v>8.6334697791223149</v>
      </c>
      <c r="I124" s="308"/>
      <c r="J124" s="303">
        <f>J122+J123</f>
        <v>44.726074123960757</v>
      </c>
      <c r="K124" s="303">
        <f>K122+K123</f>
        <v>105.04514363043437</v>
      </c>
    </row>
    <row r="125" spans="2:11">
      <c r="B125" s="306" t="s">
        <v>159</v>
      </c>
      <c r="C125" s="314" t="s">
        <v>163</v>
      </c>
      <c r="D125" s="151">
        <f>D124/D121</f>
        <v>0.16677596502692124</v>
      </c>
      <c r="E125" s="151">
        <f>E124/E121</f>
        <v>0.14629772060893606</v>
      </c>
      <c r="F125" s="151">
        <f t="shared" ref="F125:H125" si="30">F124/F121</f>
        <v>2.320605192718854E-2</v>
      </c>
      <c r="G125" s="151">
        <f t="shared" si="30"/>
        <v>1.8926920706127063E-2</v>
      </c>
      <c r="H125" s="151">
        <f t="shared" si="30"/>
        <v>3.8839998745067758E-2</v>
      </c>
      <c r="J125" s="151">
        <f>J124/J121</f>
        <v>0.16677596502692124</v>
      </c>
      <c r="K125" s="151">
        <f>K124/K121</f>
        <v>8.2923048621708545E-2</v>
      </c>
    </row>
    <row r="127" spans="2:11">
      <c r="B127" s="306" t="s">
        <v>250</v>
      </c>
      <c r="D127" s="307" t="str">
        <f>D118</f>
        <v>Actuals</v>
      </c>
      <c r="E127" s="307" t="str">
        <f t="shared" ref="E127:K128" si="31">E118</f>
        <v>Forecast</v>
      </c>
      <c r="F127" s="307" t="str">
        <f t="shared" si="31"/>
        <v>Forecast</v>
      </c>
      <c r="G127" s="307" t="str">
        <f t="shared" si="31"/>
        <v>Forecast</v>
      </c>
      <c r="H127" s="307" t="str">
        <f t="shared" si="31"/>
        <v>Forecast</v>
      </c>
      <c r="I127" s="308"/>
    </row>
    <row r="128" spans="2:11" ht="22.8">
      <c r="B128" s="308"/>
      <c r="D128" s="309">
        <f>D119</f>
        <v>2024</v>
      </c>
      <c r="E128" s="309">
        <f t="shared" si="31"/>
        <v>2025</v>
      </c>
      <c r="F128" s="309">
        <f t="shared" si="31"/>
        <v>2026</v>
      </c>
      <c r="G128" s="309">
        <f t="shared" si="31"/>
        <v>2027</v>
      </c>
      <c r="H128" s="309">
        <f t="shared" si="31"/>
        <v>2028</v>
      </c>
      <c r="I128" s="308"/>
      <c r="J128" s="310" t="str">
        <f t="shared" si="31"/>
        <v>Cumulative to 2024</v>
      </c>
      <c r="K128" s="310" t="str">
        <f t="shared" si="31"/>
        <v>RIIO-2 period</v>
      </c>
    </row>
    <row r="129" spans="2:11">
      <c r="B129" s="308" t="s">
        <v>154</v>
      </c>
      <c r="C129" s="104" t="s">
        <v>228</v>
      </c>
      <c r="D129" s="326">
        <v>249.70283016061151</v>
      </c>
      <c r="E129" s="326">
        <v>296.89770660687623</v>
      </c>
      <c r="F129" s="326">
        <v>288.09676819956996</v>
      </c>
      <c r="G129" s="326">
        <v>260.34447988316106</v>
      </c>
      <c r="H129" s="326">
        <v>259.10638439421143</v>
      </c>
      <c r="I129" s="308"/>
      <c r="J129" s="326">
        <v>249.70283016061151</v>
      </c>
      <c r="K129" s="326">
        <v>1354.1481692444304</v>
      </c>
    </row>
    <row r="130" spans="2:11" ht="22.8">
      <c r="B130" s="312" t="s">
        <v>155</v>
      </c>
      <c r="C130" s="104" t="s">
        <v>228</v>
      </c>
      <c r="D130" s="326">
        <v>274.20898352932346</v>
      </c>
      <c r="E130" s="326">
        <v>320.74919913873828</v>
      </c>
      <c r="F130" s="326">
        <v>299.2535143456268</v>
      </c>
      <c r="G130" s="326">
        <v>276.28398039128723</v>
      </c>
      <c r="H130" s="326">
        <v>276.06060773094674</v>
      </c>
      <c r="I130" s="308"/>
      <c r="J130" s="326">
        <v>274.20898352932346</v>
      </c>
      <c r="K130" s="326">
        <v>1446.5562851359223</v>
      </c>
    </row>
    <row r="131" spans="2:11">
      <c r="B131" s="306" t="s">
        <v>156</v>
      </c>
      <c r="C131" s="104" t="s">
        <v>228</v>
      </c>
      <c r="D131" s="326">
        <v>24.506153368711949</v>
      </c>
      <c r="E131" s="326">
        <v>23.851492531862039</v>
      </c>
      <c r="F131" s="326">
        <v>11.156746146056815</v>
      </c>
      <c r="G131" s="326">
        <v>15.939500508126141</v>
      </c>
      <c r="H131" s="326">
        <v>16.954223336735293</v>
      </c>
      <c r="I131" s="308"/>
      <c r="J131" s="326">
        <v>24.506153368711949</v>
      </c>
      <c r="K131" s="326">
        <v>92.408115891492031</v>
      </c>
    </row>
    <row r="132" spans="2:11">
      <c r="B132" s="308" t="s">
        <v>157</v>
      </c>
      <c r="C132" s="104" t="s">
        <v>228</v>
      </c>
      <c r="D132" s="326">
        <v>0</v>
      </c>
      <c r="E132" s="326">
        <v>0</v>
      </c>
      <c r="F132" s="326">
        <v>0</v>
      </c>
      <c r="G132" s="326">
        <v>0</v>
      </c>
      <c r="H132" s="326">
        <v>0</v>
      </c>
      <c r="I132" s="308"/>
      <c r="J132" s="326">
        <v>0</v>
      </c>
      <c r="K132" s="326">
        <v>0</v>
      </c>
    </row>
    <row r="133" spans="2:11">
      <c r="B133" s="306" t="s">
        <v>158</v>
      </c>
      <c r="C133" s="104" t="s">
        <v>228</v>
      </c>
      <c r="D133" s="303">
        <f>D131+D132</f>
        <v>24.506153368711949</v>
      </c>
      <c r="E133" s="303">
        <f>E131+E132</f>
        <v>23.851492531862039</v>
      </c>
      <c r="F133" s="303">
        <f t="shared" ref="F133" si="32">F131+F132</f>
        <v>11.156746146056815</v>
      </c>
      <c r="G133" s="303">
        <f>G131+G132</f>
        <v>15.939500508126141</v>
      </c>
      <c r="H133" s="303">
        <f t="shared" ref="H133" si="33">H131+H132</f>
        <v>16.954223336735293</v>
      </c>
      <c r="I133" s="308"/>
      <c r="J133" s="303">
        <f>J131+J132</f>
        <v>24.506153368711949</v>
      </c>
      <c r="K133" s="303">
        <f>K131+K132</f>
        <v>92.408115891492031</v>
      </c>
    </row>
    <row r="134" spans="2:11">
      <c r="B134" s="306" t="s">
        <v>159</v>
      </c>
      <c r="C134" s="314" t="s">
        <v>163</v>
      </c>
      <c r="D134" s="151">
        <f>D133/D130</f>
        <v>8.9370351960373684E-2</v>
      </c>
      <c r="E134" s="151">
        <f>E133/E130</f>
        <v>7.4361814763394651E-2</v>
      </c>
      <c r="F134" s="151">
        <f t="shared" ref="F134:H134" si="34">F133/F130</f>
        <v>3.7281921886374851E-2</v>
      </c>
      <c r="G134" s="151">
        <f t="shared" si="34"/>
        <v>5.7692452836215193E-2</v>
      </c>
      <c r="H134" s="151">
        <f t="shared" si="34"/>
        <v>6.1414859135784997E-2</v>
      </c>
      <c r="J134" s="151">
        <f>J133/J130</f>
        <v>8.9370351960373684E-2</v>
      </c>
      <c r="K134" s="151">
        <f>K133/K130</f>
        <v>6.3881451998121952E-2</v>
      </c>
    </row>
  </sheetData>
  <mergeCells count="116">
    <mergeCell ref="L6:M6"/>
    <mergeCell ref="L8:M8"/>
    <mergeCell ref="I9:J9"/>
    <mergeCell ref="L9:M9"/>
    <mergeCell ref="I10:J10"/>
    <mergeCell ref="L10:M10"/>
    <mergeCell ref="I1:J1"/>
    <mergeCell ref="I2:J2"/>
    <mergeCell ref="I3:J3"/>
    <mergeCell ref="I4:J4"/>
    <mergeCell ref="L4:M4"/>
    <mergeCell ref="I6:J6"/>
    <mergeCell ref="L5:M5"/>
    <mergeCell ref="L17:M17"/>
    <mergeCell ref="L18:M18"/>
    <mergeCell ref="L19:M19"/>
    <mergeCell ref="L20:M20"/>
    <mergeCell ref="L21:M21"/>
    <mergeCell ref="L22:M22"/>
    <mergeCell ref="L11:M11"/>
    <mergeCell ref="L12:M12"/>
    <mergeCell ref="L13:M13"/>
    <mergeCell ref="L14:M14"/>
    <mergeCell ref="L15:M15"/>
    <mergeCell ref="L16:M16"/>
    <mergeCell ref="L30:M30"/>
    <mergeCell ref="L31:M31"/>
    <mergeCell ref="L32:M32"/>
    <mergeCell ref="L33:M33"/>
    <mergeCell ref="L34:M34"/>
    <mergeCell ref="L23:M23"/>
    <mergeCell ref="L24:M24"/>
    <mergeCell ref="L25:M25"/>
    <mergeCell ref="L26:M26"/>
    <mergeCell ref="L27:M27"/>
    <mergeCell ref="L29:M29"/>
    <mergeCell ref="I39:J39"/>
    <mergeCell ref="L39:M39"/>
    <mergeCell ref="L40:M40"/>
    <mergeCell ref="L41:M41"/>
    <mergeCell ref="L42:M42"/>
    <mergeCell ref="L43:M43"/>
    <mergeCell ref="I35:J35"/>
    <mergeCell ref="L35:M35"/>
    <mergeCell ref="I36:J36"/>
    <mergeCell ref="L36:M36"/>
    <mergeCell ref="I38:J38"/>
    <mergeCell ref="L38:M38"/>
    <mergeCell ref="L50:M50"/>
    <mergeCell ref="L51:M51"/>
    <mergeCell ref="L52:M52"/>
    <mergeCell ref="L53:M53"/>
    <mergeCell ref="L54:M54"/>
    <mergeCell ref="L55:M55"/>
    <mergeCell ref="L44:M44"/>
    <mergeCell ref="L45:M45"/>
    <mergeCell ref="L46:M46"/>
    <mergeCell ref="L47:M47"/>
    <mergeCell ref="L48:M48"/>
    <mergeCell ref="L49:M49"/>
    <mergeCell ref="L63:M63"/>
    <mergeCell ref="I64:J64"/>
    <mergeCell ref="L64:M64"/>
    <mergeCell ref="I66:J66"/>
    <mergeCell ref="L66:M66"/>
    <mergeCell ref="L56:M56"/>
    <mergeCell ref="L58:M58"/>
    <mergeCell ref="L59:M59"/>
    <mergeCell ref="L60:M60"/>
    <mergeCell ref="L61:M61"/>
    <mergeCell ref="L62:M62"/>
    <mergeCell ref="L71:M71"/>
    <mergeCell ref="L72:M72"/>
    <mergeCell ref="L73:M73"/>
    <mergeCell ref="L74:M74"/>
    <mergeCell ref="L75:M75"/>
    <mergeCell ref="L76:M76"/>
    <mergeCell ref="I67:J67"/>
    <mergeCell ref="L67:M67"/>
    <mergeCell ref="I68:J68"/>
    <mergeCell ref="L68:M68"/>
    <mergeCell ref="L69:M69"/>
    <mergeCell ref="L70:M70"/>
    <mergeCell ref="L83:M83"/>
    <mergeCell ref="L84:M84"/>
    <mergeCell ref="L85:M85"/>
    <mergeCell ref="L88:M88"/>
    <mergeCell ref="L89:M89"/>
    <mergeCell ref="L90:M90"/>
    <mergeCell ref="L77:M77"/>
    <mergeCell ref="L78:M78"/>
    <mergeCell ref="L79:M79"/>
    <mergeCell ref="L80:M80"/>
    <mergeCell ref="L81:M81"/>
    <mergeCell ref="L82:M82"/>
    <mergeCell ref="I96:J96"/>
    <mergeCell ref="L96:M96"/>
    <mergeCell ref="I97:J97"/>
    <mergeCell ref="L97:M97"/>
    <mergeCell ref="I98:J98"/>
    <mergeCell ref="L98:M98"/>
    <mergeCell ref="L91:M91"/>
    <mergeCell ref="L92:M92"/>
    <mergeCell ref="L93:M93"/>
    <mergeCell ref="L94:M94"/>
    <mergeCell ref="L95:M95"/>
    <mergeCell ref="L105:M105"/>
    <mergeCell ref="L106:M106"/>
    <mergeCell ref="L107:M107"/>
    <mergeCell ref="L102:M102"/>
    <mergeCell ref="L103:M103"/>
    <mergeCell ref="L104:M104"/>
    <mergeCell ref="I99:J99"/>
    <mergeCell ref="L99:M99"/>
    <mergeCell ref="L100:M100"/>
    <mergeCell ref="L101:M101"/>
  </mergeCells>
  <conditionalFormatting sqref="D100:H101 J101">
    <cfRule type="expression" dxfId="5" priority="121">
      <formula>AND(#REF!="Actuals",#REF!="Forecast")</formula>
    </cfRule>
  </conditionalFormatting>
  <conditionalFormatting sqref="D109:H110 J110 D118:H119 J119 D127:H128 J128">
    <cfRule type="expression" dxfId="4" priority="10">
      <formula>AND(D$7="Actuals",E$7="Forecast")</formula>
    </cfRule>
  </conditionalFormatting>
  <conditionalFormatting sqref="K101">
    <cfRule type="expression" dxfId="3" priority="123">
      <formula>AND(#REF!="Actuals",L$6="Forecast")</formula>
    </cfRule>
  </conditionalFormatting>
  <conditionalFormatting sqref="K110 K119 K128">
    <cfRule type="expression" dxfId="2" priority="11">
      <formula>AND(K$7="Actuals",L$6="Forecast")</formula>
    </cfRule>
  </conditionalFormatting>
  <pageMargins left="0.7" right="0.7" top="0.75" bottom="0.75" header="0.3" footer="0.3"/>
  <ignoredErrors>
    <ignoredError sqref="D103:K103 J30:K30"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16"/>
  <sheetViews>
    <sheetView zoomScale="80" zoomScaleNormal="80" workbookViewId="0"/>
  </sheetViews>
  <sheetFormatPr defaultRowHeight="12.6"/>
  <cols>
    <col min="1" max="1" width="7.6328125" customWidth="1"/>
  </cols>
  <sheetData>
    <row r="1" spans="1:9" s="41" customFormat="1" ht="57" customHeight="1"/>
    <row r="2" spans="1:9">
      <c r="A2" t="s">
        <v>251</v>
      </c>
    </row>
    <row r="3" spans="1:9">
      <c r="B3" s="107" t="str">
        <f>GD!D94</f>
        <v>Actuals</v>
      </c>
      <c r="C3" s="107" t="str">
        <f>GD!E94</f>
        <v>Actuals</v>
      </c>
      <c r="D3" s="107" t="str">
        <f>GD!F94</f>
        <v>Actuals</v>
      </c>
      <c r="E3" s="107" t="str">
        <f>GD!G94</f>
        <v>Forecast</v>
      </c>
      <c r="F3" s="107" t="str">
        <f>GD!H94</f>
        <v>Forecast</v>
      </c>
    </row>
    <row r="4" spans="1:9">
      <c r="B4" s="108">
        <f>GD!D95</f>
        <v>2022</v>
      </c>
      <c r="C4" s="108">
        <f>GD!E95</f>
        <v>2023</v>
      </c>
      <c r="D4" s="108">
        <f>GD!F95</f>
        <v>2024</v>
      </c>
      <c r="E4" s="108">
        <f>GD!G95</f>
        <v>2025</v>
      </c>
      <c r="F4" s="108">
        <f>GD!H95</f>
        <v>2026</v>
      </c>
      <c r="G4" s="42"/>
      <c r="H4" s="42"/>
      <c r="I4" s="42"/>
    </row>
    <row r="5" spans="1:9">
      <c r="A5" t="s">
        <v>12</v>
      </c>
      <c r="B5" s="250">
        <v>0.61991022721669131</v>
      </c>
      <c r="C5" s="250">
        <v>0.59583861737891275</v>
      </c>
      <c r="D5" s="250">
        <v>0.58823255165476662</v>
      </c>
      <c r="E5" s="250">
        <v>0.60168226849543527</v>
      </c>
      <c r="F5" s="250">
        <v>0.61597625432129355</v>
      </c>
    </row>
    <row r="6" spans="1:9">
      <c r="A6" t="s">
        <v>14</v>
      </c>
      <c r="B6" s="250">
        <v>0.6980594616286705</v>
      </c>
      <c r="C6" s="250">
        <v>0.66678225543207181</v>
      </c>
      <c r="D6" s="250">
        <v>0.64778017732128901</v>
      </c>
      <c r="E6" s="250">
        <v>0.66308694621205411</v>
      </c>
      <c r="F6" s="250">
        <v>0.6779408717881773</v>
      </c>
    </row>
    <row r="9" spans="1:9">
      <c r="B9" s="42"/>
      <c r="C9" s="42"/>
      <c r="D9" s="42"/>
      <c r="E9" s="42"/>
      <c r="F9" s="42"/>
      <c r="G9" s="42"/>
      <c r="H9" s="42"/>
      <c r="I9" s="42"/>
    </row>
    <row r="10" spans="1:9">
      <c r="B10" s="107" t="str">
        <f>ED!D100</f>
        <v>Actuals</v>
      </c>
      <c r="C10" s="107" t="str">
        <f>ED!E100</f>
        <v>Forecast</v>
      </c>
      <c r="D10" s="107" t="str">
        <f>ED!F100</f>
        <v>Forecast</v>
      </c>
      <c r="E10" s="107" t="str">
        <f>ED!G100</f>
        <v>Forecast</v>
      </c>
      <c r="F10" s="107" t="str">
        <f>ED!H100</f>
        <v>Forecast</v>
      </c>
    </row>
    <row r="11" spans="1:9">
      <c r="B11" s="108">
        <f>ED!D101</f>
        <v>2024</v>
      </c>
      <c r="C11" s="108">
        <f>ED!E101</f>
        <v>2025</v>
      </c>
      <c r="D11" s="108">
        <f>ED!F101</f>
        <v>2026</v>
      </c>
      <c r="E11" s="108">
        <f>ED!G101</f>
        <v>2027</v>
      </c>
      <c r="F11" s="108">
        <f>ED!H101</f>
        <v>2028</v>
      </c>
    </row>
    <row r="12" spans="1:9">
      <c r="A12" t="s">
        <v>23</v>
      </c>
      <c r="B12" s="250">
        <v>0.50876250948039214</v>
      </c>
      <c r="C12" s="250">
        <v>0.55722743489477367</v>
      </c>
      <c r="D12" s="250">
        <v>0.59776816782808839</v>
      </c>
      <c r="E12" s="250">
        <v>0.59681548576621823</v>
      </c>
      <c r="F12" s="250">
        <v>0.59642401696992065</v>
      </c>
    </row>
    <row r="13" spans="1:9">
      <c r="A13" t="s">
        <v>24</v>
      </c>
      <c r="B13" s="250">
        <v>0.48810764793390465</v>
      </c>
      <c r="C13" s="250">
        <v>0.52026512274776804</v>
      </c>
      <c r="D13" s="250">
        <v>0.544809847123225</v>
      </c>
      <c r="E13" s="250">
        <v>0.59389856004020636</v>
      </c>
      <c r="F13" s="250">
        <v>0.59923076311177459</v>
      </c>
    </row>
    <row r="14" spans="1:9">
      <c r="A14" t="s">
        <v>25</v>
      </c>
      <c r="B14" s="250">
        <v>0.5998208711588533</v>
      </c>
      <c r="C14" s="250">
        <v>0.60124139088931461</v>
      </c>
      <c r="D14" s="250">
        <v>0.59857168150592277</v>
      </c>
      <c r="E14" s="250">
        <v>0.60019861157470933</v>
      </c>
      <c r="F14" s="250">
        <v>0.60016390314275336</v>
      </c>
    </row>
    <row r="15" spans="1:9">
      <c r="A15" t="s">
        <v>26</v>
      </c>
      <c r="B15" s="250">
        <v>0.53031990247845118</v>
      </c>
      <c r="C15" s="250">
        <v>0.60016585781968701</v>
      </c>
      <c r="D15" s="250">
        <v>0.60038593832914455</v>
      </c>
      <c r="E15" s="250">
        <v>0.59982023885943392</v>
      </c>
      <c r="F15" s="250">
        <v>0.60010407542496158</v>
      </c>
    </row>
    <row r="16" spans="1:9">
      <c r="A16" t="s">
        <v>27</v>
      </c>
      <c r="B16" s="250">
        <v>0.55619778674300069</v>
      </c>
      <c r="C16" s="250">
        <v>0.55744158182868842</v>
      </c>
      <c r="D16" s="250">
        <v>0.58026806033975487</v>
      </c>
      <c r="E16" s="250">
        <v>0.60740852394077371</v>
      </c>
      <c r="F16" s="250">
        <v>0.61194059255749644</v>
      </c>
    </row>
  </sheetData>
  <conditionalFormatting sqref="B3:F4">
    <cfRule type="expression" dxfId="1" priority="1">
      <formula>AND(B$7="Actuals",C$7="Forecast")</formula>
    </cfRule>
  </conditionalFormatting>
  <conditionalFormatting sqref="B10:F11">
    <cfRule type="expression" dxfId="0" priority="2">
      <formula>AND(B$7="Actuals",C$7="Forecast")</formula>
    </cfRule>
  </conditionalFormatting>
  <pageMargins left="0.70866141732283472" right="0.70866141732283472" top="0.74803149606299213" bottom="0.74803149606299213" header="0.31496062992125984" footer="0.31496062992125984"/>
  <pageSetup paperSize="9" scale="9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516</PublicationRequestID>
    <TaxCatchAll xmlns="d66eba0d-a2b9-4833-9603-ab5d8f45883c" xsi:nil="true"/>
    <DocumentTitle xmlns="3ffacce4-957f-4f0a-910f-9efe2ecf512c">RIIO-2 Regulatory Performance Data File 2023-24</DocumentTitle>
    <DocumentRank xmlns="3ffacce4-957f-4f0a-910f-9efe2ecf512c">Main</DocumentRank>
  </documentManagement>
</p:properties>
</file>

<file path=customXml/itemProps1.xml><?xml version="1.0" encoding="utf-8"?>
<ds:datastoreItem xmlns:ds="http://schemas.openxmlformats.org/officeDocument/2006/customXml" ds:itemID="{815CF6D7-3D63-4773-9930-318BE5467661}">
  <ds:schemaRefs>
    <ds:schemaRef ds:uri="http://schemas.microsoft.com/sharepoint/v3/contenttype/forms"/>
  </ds:schemaRefs>
</ds:datastoreItem>
</file>

<file path=customXml/itemProps2.xml><?xml version="1.0" encoding="utf-8"?>
<ds:datastoreItem xmlns:ds="http://schemas.openxmlformats.org/officeDocument/2006/customXml" ds:itemID="{F04D7E97-B70A-4602-945A-D4DC606B8AD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3A607CAB-544D-410F-B598-76962B2C7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C2BEAF-252C-49C5-AE84-B41AF7E571C1}">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Links to individual RFPRs</vt:lpstr>
      <vt:lpstr>Data</vt:lpstr>
      <vt:lpstr>Supporting narrative</vt:lpstr>
      <vt:lpstr>RoRE by sector 2023-24</vt:lpstr>
      <vt:lpstr>RoRE position 2023-24</vt:lpstr>
      <vt:lpstr>RAV-Gearing</vt:lpstr>
      <vt:lpstr>RIIO-2 totex performance </vt:lpstr>
      <vt:lpstr>Charts (RIIO-2) </vt:lpstr>
      <vt:lpstr>Backup&gt;&gt;&gt;</vt:lpstr>
      <vt:lpstr>GD</vt:lpstr>
      <vt:lpstr>Cadent</vt:lpstr>
      <vt:lpstr>NGN</vt:lpstr>
      <vt:lpstr>SGN</vt:lpstr>
      <vt:lpstr>WWU</vt:lpstr>
      <vt:lpstr>GT</vt:lpstr>
      <vt:lpstr>ET</vt:lpstr>
      <vt:lpstr>NGET</vt:lpstr>
      <vt:lpstr>SPT</vt:lpstr>
      <vt:lpstr>SHET</vt:lpstr>
      <vt:lpstr>ED</vt:lpstr>
      <vt:lpstr>ENWL</vt:lpstr>
      <vt:lpstr>NGED</vt:lpstr>
      <vt:lpstr>NPg</vt:lpstr>
      <vt:lpstr>SPEN</vt:lpstr>
      <vt:lpstr>SSE</vt:lpstr>
      <vt:lpstr>UKPN</vt:lpstr>
      <vt:lpstr>Input sheet - RAV Gearing</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Supporting Data File RFPR 2022-23</dc:title>
  <dc:subject/>
  <dc:creator>Mick Watson</dc:creator>
  <cp:keywords/>
  <dc:description/>
  <cp:lastModifiedBy>Charlotte Booth</cp:lastModifiedBy>
  <cp:revision/>
  <dcterms:created xsi:type="dcterms:W3CDTF">2018-11-13T07:44:37Z</dcterms:created>
  <dcterms:modified xsi:type="dcterms:W3CDTF">2025-02-13T12:09:51Z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9106b950-3b79-4ae9-8b92-f2ddd049e443</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y fmtid="{D5CDD505-2E9C-101B-9397-08002B2CF9AE}" pid="8" name="ContentTypeId">
    <vt:lpwstr>0x010100D7C6947C0F765F428416B2828D309B65</vt:lpwstr>
  </property>
  <property fmtid="{D5CDD505-2E9C-101B-9397-08002B2CF9AE}" pid="9" name="MediaServiceImageTags">
    <vt:lpwstr/>
  </property>
  <property fmtid="{D5CDD505-2E9C-101B-9397-08002B2CF9AE}" pid="10" name="MSIP_Label_38144ccb-b10a-4c0f-b070-7a3b00ac7463_Enabled">
    <vt:lpwstr>true</vt:lpwstr>
  </property>
  <property fmtid="{D5CDD505-2E9C-101B-9397-08002B2CF9AE}" pid="11" name="MSIP_Label_38144ccb-b10a-4c0f-b070-7a3b00ac7463_SetDate">
    <vt:lpwstr>2022-07-21T15:00:30Z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e8f4da7c-7fad-4291-9a75-e78e3b6ffb46</vt:lpwstr>
  </property>
  <property fmtid="{D5CDD505-2E9C-101B-9397-08002B2CF9AE}" pid="16" name="MSIP_Label_38144ccb-b10a-4c0f-b070-7a3b00ac7463_ContentBits">
    <vt:lpwstr>2</vt:lpwstr>
  </property>
  <property fmtid="{D5CDD505-2E9C-101B-9397-08002B2CF9AE}" pid="17" name="Licensee">
    <vt:lpwstr>ESO</vt:lpwstr>
  </property>
  <property fmtid="{D5CDD505-2E9C-101B-9397-08002B2CF9AE}" pid="18" name="Category">
    <vt:lpwstr>Ofgem Checks</vt:lpwstr>
  </property>
  <property fmtid="{D5CDD505-2E9C-101B-9397-08002B2CF9AE}" pid="19" name="Year">
    <vt:lpwstr>2023</vt:lpwstr>
  </property>
</Properties>
</file>