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gemcloud-my.sharepoint.com/personal/stefan_blanchard_ofgem_gov_uk/Documents/Documents/Inflation/Open Letter for submission/"/>
    </mc:Choice>
  </mc:AlternateContent>
  <xr:revisionPtr revIDLastSave="0" documentId="8_{C604347A-01C8-47B4-B4DD-6D9A4ED26397}" xr6:coauthVersionLast="47" xr6:coauthVersionMax="47" xr10:uidLastSave="{00000000-0000-0000-0000-000000000000}"/>
  <bookViews>
    <workbookView xWindow="0" yWindow="0" windowWidth="25800" windowHeight="21000" xr2:uid="{9320B6AD-0B81-4917-B4B2-F73F68138B91}"/>
  </bookViews>
  <sheets>
    <sheet name="Data" sheetId="1" r:id="rId1"/>
    <sheet name="Single Year Example" sheetId="6" r:id="rId2"/>
    <sheet name="Multi Year Example" sheetId="19" r:id="rId3"/>
    <sheet name="Sector values" sheetId="3" r:id="rId4"/>
    <sheet name="ET-GT-GD" sheetId="18" r:id="rId5"/>
    <sheet name="ED" sheetId="13" r:id="rId6"/>
    <sheet name="Totals" sheetId="20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3" l="1"/>
  <c r="C32" i="20"/>
  <c r="E67" i="13"/>
  <c r="E66" i="13"/>
  <c r="E65" i="13"/>
  <c r="E64" i="13"/>
  <c r="E68" i="18"/>
  <c r="E67" i="18"/>
  <c r="E66" i="18"/>
  <c r="E65" i="18"/>
  <c r="E64" i="18"/>
  <c r="E59" i="13"/>
  <c r="E60" i="13"/>
  <c r="E58" i="13"/>
  <c r="E58" i="18"/>
  <c r="D19" i="3"/>
  <c r="O8" i="3"/>
  <c r="Q35" i="3"/>
  <c r="R35" i="3"/>
  <c r="P35" i="3"/>
  <c r="O35" i="3"/>
  <c r="P8" i="3"/>
  <c r="Q8" i="3"/>
  <c r="H55" i="3"/>
  <c r="E60" i="18"/>
  <c r="E59" i="18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8" i="3" l="1"/>
  <c r="R100" i="1"/>
  <c r="Q100" i="1"/>
  <c r="P100" i="1"/>
  <c r="O100" i="1"/>
  <c r="O98" i="1"/>
  <c r="R98" i="1"/>
  <c r="Q98" i="1"/>
  <c r="P98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6" i="18" l="1"/>
  <c r="S55" i="3" l="1"/>
  <c r="Q38" i="13" s="1"/>
  <c r="R55" i="3"/>
  <c r="P38" i="13" s="1"/>
  <c r="Q55" i="3"/>
  <c r="O38" i="13" s="1"/>
  <c r="P55" i="3"/>
  <c r="N38" i="13" s="1"/>
  <c r="O55" i="3"/>
  <c r="M38" i="13" s="1"/>
  <c r="N55" i="3"/>
  <c r="L38" i="13" s="1"/>
  <c r="M55" i="3"/>
  <c r="K38" i="13" s="1"/>
  <c r="L55" i="3"/>
  <c r="J38" i="13" s="1"/>
  <c r="K55" i="3"/>
  <c r="I38" i="13" s="1"/>
  <c r="J55" i="3"/>
  <c r="H38" i="13" s="1"/>
  <c r="I55" i="3"/>
  <c r="G38" i="13" s="1"/>
  <c r="F38" i="13"/>
  <c r="G55" i="3"/>
  <c r="E38" i="13" s="1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D7" i="13" l="1"/>
  <c r="B7" i="18"/>
  <c r="G41" i="3"/>
  <c r="G42" i="3" s="1"/>
  <c r="F35" i="3"/>
  <c r="E6" i="13" l="1"/>
  <c r="E14" i="3"/>
  <c r="E15" i="3" s="1"/>
  <c r="E8" i="3"/>
  <c r="E9" i="3" s="1"/>
  <c r="O20" i="3" l="1"/>
  <c r="G20" i="3"/>
  <c r="M20" i="3"/>
  <c r="E20" i="3"/>
  <c r="L20" i="3"/>
  <c r="I20" i="3"/>
  <c r="P20" i="3"/>
  <c r="H20" i="3"/>
  <c r="N20" i="3"/>
  <c r="F20" i="3"/>
  <c r="K20" i="3"/>
  <c r="J20" i="3"/>
  <c r="Q20" i="3"/>
  <c r="C5" i="18"/>
  <c r="C39" i="18" s="1"/>
  <c r="C40" i="18" s="1"/>
  <c r="C6" i="18"/>
  <c r="C41" i="18" l="1"/>
  <c r="C7" i="18"/>
  <c r="B14" i="6"/>
  <c r="B13" i="6"/>
  <c r="B8" i="6"/>
  <c r="I41" i="3"/>
  <c r="J41" i="3"/>
  <c r="K41" i="3"/>
  <c r="L41" i="3"/>
  <c r="M41" i="3"/>
  <c r="N41" i="3"/>
  <c r="O41" i="3"/>
  <c r="P41" i="3"/>
  <c r="Q41" i="3"/>
  <c r="R41" i="3"/>
  <c r="S41" i="3"/>
  <c r="H41" i="3"/>
  <c r="H42" i="3" s="1"/>
  <c r="G14" i="3"/>
  <c r="H14" i="3"/>
  <c r="I14" i="3"/>
  <c r="J14" i="3"/>
  <c r="K14" i="3"/>
  <c r="L14" i="3"/>
  <c r="M14" i="3"/>
  <c r="N14" i="3"/>
  <c r="O14" i="3"/>
  <c r="P14" i="3"/>
  <c r="Q14" i="3"/>
  <c r="F14" i="3"/>
  <c r="F15" i="3" s="1"/>
  <c r="H51" i="3"/>
  <c r="F16" i="13" s="1"/>
  <c r="I51" i="3"/>
  <c r="G16" i="13" s="1"/>
  <c r="J51" i="3"/>
  <c r="H16" i="13" s="1"/>
  <c r="K51" i="3"/>
  <c r="I16" i="13" s="1"/>
  <c r="L51" i="3"/>
  <c r="J16" i="13" s="1"/>
  <c r="M51" i="3"/>
  <c r="K16" i="13" s="1"/>
  <c r="N51" i="3"/>
  <c r="L16" i="13" s="1"/>
  <c r="O51" i="3"/>
  <c r="M16" i="13" s="1"/>
  <c r="P51" i="3"/>
  <c r="N16" i="13" s="1"/>
  <c r="Q51" i="3"/>
  <c r="O16" i="13" s="1"/>
  <c r="R51" i="3"/>
  <c r="P16" i="13" s="1"/>
  <c r="S51" i="3"/>
  <c r="Q16" i="13" s="1"/>
  <c r="G51" i="3"/>
  <c r="E16" i="13" s="1"/>
  <c r="G52" i="3"/>
  <c r="E17" i="13" s="1"/>
  <c r="H52" i="3"/>
  <c r="F17" i="13" s="1"/>
  <c r="I52" i="3"/>
  <c r="G17" i="13" s="1"/>
  <c r="J52" i="3"/>
  <c r="H17" i="13" s="1"/>
  <c r="K52" i="3"/>
  <c r="I17" i="13" s="1"/>
  <c r="L52" i="3"/>
  <c r="J17" i="13" s="1"/>
  <c r="M52" i="3"/>
  <c r="K17" i="13" s="1"/>
  <c r="N52" i="3"/>
  <c r="L17" i="13" s="1"/>
  <c r="O52" i="3"/>
  <c r="M17" i="13" s="1"/>
  <c r="P52" i="3"/>
  <c r="N17" i="13" s="1"/>
  <c r="Q52" i="3"/>
  <c r="O17" i="13" s="1"/>
  <c r="R52" i="3"/>
  <c r="P17" i="13" s="1"/>
  <c r="S52" i="3"/>
  <c r="Q17" i="13" s="1"/>
  <c r="D17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C16" i="18"/>
  <c r="C17" i="18"/>
  <c r="O17" i="18"/>
  <c r="E17" i="18"/>
  <c r="F17" i="18"/>
  <c r="G17" i="18"/>
  <c r="H17" i="18"/>
  <c r="I17" i="18"/>
  <c r="J17" i="18"/>
  <c r="K17" i="18"/>
  <c r="L17" i="18"/>
  <c r="M17" i="18"/>
  <c r="N17" i="18"/>
  <c r="I42" i="3" l="1"/>
  <c r="J42" i="3" s="1"/>
  <c r="K42" i="3" s="1"/>
  <c r="L42" i="3" s="1"/>
  <c r="M42" i="3" s="1"/>
  <c r="N42" i="3" s="1"/>
  <c r="O42" i="3" s="1"/>
  <c r="P42" i="3" s="1"/>
  <c r="Q42" i="3" s="1"/>
  <c r="R42" i="3" s="1"/>
  <c r="S42" i="3" s="1"/>
  <c r="G15" i="3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B11" i="19"/>
  <c r="C9" i="19"/>
  <c r="B7" i="19"/>
  <c r="D7" i="19"/>
  <c r="C7" i="19"/>
  <c r="C11" i="19" s="1"/>
  <c r="B12" i="19"/>
  <c r="I6" i="18"/>
  <c r="E6" i="18"/>
  <c r="F6" i="18"/>
  <c r="G6" i="18"/>
  <c r="H6" i="18"/>
  <c r="J6" i="18"/>
  <c r="K6" i="18"/>
  <c r="L6" i="18"/>
  <c r="M6" i="18"/>
  <c r="N6" i="18"/>
  <c r="O6" i="18"/>
  <c r="D6" i="18"/>
  <c r="O93" i="1"/>
  <c r="P93" i="1" s="1"/>
  <c r="Q93" i="1" s="1"/>
  <c r="R93" i="1" s="1"/>
  <c r="S93" i="1" s="1"/>
  <c r="O78" i="1"/>
  <c r="C12" i="19" l="1"/>
  <c r="D11" i="19"/>
  <c r="D9" i="19" l="1"/>
  <c r="D12" i="19" s="1"/>
  <c r="C14" i="19"/>
  <c r="G6" i="13"/>
  <c r="H6" i="13"/>
  <c r="I6" i="13"/>
  <c r="J6" i="13"/>
  <c r="K6" i="13"/>
  <c r="L6" i="13"/>
  <c r="M6" i="13"/>
  <c r="N6" i="13"/>
  <c r="O6" i="13"/>
  <c r="P6" i="13"/>
  <c r="Q6" i="13"/>
  <c r="F6" i="13"/>
  <c r="C21" i="19" l="1"/>
  <c r="C19" i="19"/>
  <c r="C23" i="19"/>
  <c r="C20" i="19"/>
  <c r="D14" i="19"/>
  <c r="D21" i="19" l="1"/>
  <c r="D19" i="19"/>
  <c r="D23" i="19"/>
  <c r="D20" i="19"/>
  <c r="H35" i="3" l="1"/>
  <c r="I35" i="3"/>
  <c r="J35" i="3"/>
  <c r="K35" i="3"/>
  <c r="L35" i="3"/>
  <c r="M35" i="3"/>
  <c r="N35" i="3"/>
  <c r="S35" i="3"/>
  <c r="G35" i="3"/>
  <c r="G36" i="3" s="1"/>
  <c r="H36" i="3" s="1"/>
  <c r="G8" i="3"/>
  <c r="H8" i="3"/>
  <c r="I8" i="3"/>
  <c r="J8" i="3"/>
  <c r="K8" i="3"/>
  <c r="L8" i="3"/>
  <c r="M8" i="3"/>
  <c r="N8" i="3"/>
  <c r="F8" i="3"/>
  <c r="F9" i="3" s="1"/>
  <c r="B17" i="6"/>
  <c r="K47" i="3"/>
  <c r="G9" i="3" l="1"/>
  <c r="H9" i="3"/>
  <c r="I9" i="3" s="1"/>
  <c r="J9" i="3" s="1"/>
  <c r="K9" i="3" s="1"/>
  <c r="L9" i="3" s="1"/>
  <c r="M9" i="3" s="1"/>
  <c r="N9" i="3" s="1"/>
  <c r="O9" i="3" s="1"/>
  <c r="P9" i="3" s="1"/>
  <c r="Q9" i="3" s="1"/>
  <c r="I36" i="3"/>
  <c r="J36" i="3" s="1"/>
  <c r="K36" i="3" s="1"/>
  <c r="L36" i="3"/>
  <c r="M36" i="3" s="1"/>
  <c r="N36" i="3" s="1"/>
  <c r="O36" i="3" s="1"/>
  <c r="P36" i="3" s="1"/>
  <c r="Q36" i="3" s="1"/>
  <c r="R36" i="3" s="1"/>
  <c r="S36" i="3" s="1"/>
  <c r="M5" i="18"/>
  <c r="O5" i="18"/>
  <c r="O39" i="18" s="1"/>
  <c r="O40" i="18" s="1"/>
  <c r="G5" i="18"/>
  <c r="G39" i="18" s="1"/>
  <c r="G40" i="18" s="1"/>
  <c r="M5" i="13"/>
  <c r="M39" i="13" s="1"/>
  <c r="M40" i="13" s="1"/>
  <c r="E57" i="13" s="1"/>
  <c r="N5" i="18"/>
  <c r="N39" i="18" s="1"/>
  <c r="N40" i="18" s="1"/>
  <c r="F5" i="18"/>
  <c r="F39" i="18" s="1"/>
  <c r="F40" i="18" s="1"/>
  <c r="L5" i="13"/>
  <c r="L39" i="13" s="1"/>
  <c r="L40" i="13" s="1"/>
  <c r="L41" i="13" s="1"/>
  <c r="K42" i="13" s="1"/>
  <c r="E5" i="13"/>
  <c r="K5" i="13"/>
  <c r="K39" i="13" s="1"/>
  <c r="K40" i="13" s="1"/>
  <c r="K41" i="13" s="1"/>
  <c r="L5" i="18"/>
  <c r="L39" i="18" s="1"/>
  <c r="L40" i="18" s="1"/>
  <c r="I5" i="13"/>
  <c r="I39" i="13" s="1"/>
  <c r="I40" i="13" s="1"/>
  <c r="I41" i="13" s="1"/>
  <c r="E5" i="18"/>
  <c r="E39" i="18" s="1"/>
  <c r="E40" i="18" s="1"/>
  <c r="K5" i="18"/>
  <c r="K39" i="18" s="1"/>
  <c r="K40" i="18" s="1"/>
  <c r="J5" i="13"/>
  <c r="J39" i="13" s="1"/>
  <c r="J40" i="13" s="1"/>
  <c r="J41" i="13" s="1"/>
  <c r="Q5" i="13"/>
  <c r="Q39" i="13" s="1"/>
  <c r="Q40" i="13" s="1"/>
  <c r="Q41" i="13" s="1"/>
  <c r="J5" i="18"/>
  <c r="J39" i="18" s="1"/>
  <c r="J40" i="18" s="1"/>
  <c r="H5" i="13"/>
  <c r="H39" i="13" s="1"/>
  <c r="H40" i="13" s="1"/>
  <c r="H41" i="13" s="1"/>
  <c r="I5" i="18"/>
  <c r="I39" i="18" s="1"/>
  <c r="I40" i="18" s="1"/>
  <c r="O5" i="13"/>
  <c r="O39" i="13" s="1"/>
  <c r="O40" i="13" s="1"/>
  <c r="O41" i="13" s="1"/>
  <c r="G5" i="13"/>
  <c r="G39" i="13" s="1"/>
  <c r="G40" i="13" s="1"/>
  <c r="G41" i="13" s="1"/>
  <c r="P5" i="13"/>
  <c r="P39" i="13" s="1"/>
  <c r="P40" i="13" s="1"/>
  <c r="P41" i="13" s="1"/>
  <c r="D5" i="18"/>
  <c r="D39" i="18" s="1"/>
  <c r="D40" i="18" s="1"/>
  <c r="H5" i="18"/>
  <c r="H39" i="18" s="1"/>
  <c r="H40" i="18" s="1"/>
  <c r="N5" i="13"/>
  <c r="N39" i="13" s="1"/>
  <c r="N40" i="13" s="1"/>
  <c r="N41" i="13" s="1"/>
  <c r="F5" i="13"/>
  <c r="F39" i="13" s="1"/>
  <c r="F40" i="13" s="1"/>
  <c r="F41" i="13" s="1"/>
  <c r="P47" i="3"/>
  <c r="I3" i="13"/>
  <c r="I47" i="3"/>
  <c r="S47" i="3"/>
  <c r="R47" i="3"/>
  <c r="O47" i="3"/>
  <c r="N47" i="3"/>
  <c r="J47" i="3"/>
  <c r="Q47" i="3"/>
  <c r="H47" i="3"/>
  <c r="M47" i="3"/>
  <c r="L47" i="3"/>
  <c r="G47" i="3"/>
  <c r="M39" i="18" l="1"/>
  <c r="M40" i="18" s="1"/>
  <c r="E57" i="18" s="1"/>
  <c r="M41" i="13"/>
  <c r="M42" i="13" s="1"/>
  <c r="N42" i="13" s="1"/>
  <c r="O42" i="13" s="1"/>
  <c r="P42" i="13" s="1"/>
  <c r="Q42" i="13" s="1"/>
  <c r="J42" i="13"/>
  <c r="F7" i="13"/>
  <c r="J41" i="18"/>
  <c r="E41" i="18"/>
  <c r="H41" i="18"/>
  <c r="G41" i="18"/>
  <c r="D41" i="18"/>
  <c r="I41" i="18"/>
  <c r="L41" i="18"/>
  <c r="K42" i="18" s="1"/>
  <c r="F41" i="18"/>
  <c r="O41" i="18"/>
  <c r="K41" i="18"/>
  <c r="N41" i="18"/>
  <c r="D7" i="18"/>
  <c r="G7" i="18"/>
  <c r="H7" i="18"/>
  <c r="Q7" i="13"/>
  <c r="I7" i="13"/>
  <c r="P7" i="13"/>
  <c r="L7" i="13"/>
  <c r="J7" i="18"/>
  <c r="K7" i="13"/>
  <c r="M7" i="18"/>
  <c r="G7" i="13"/>
  <c r="F7" i="18"/>
  <c r="O7" i="13"/>
  <c r="I7" i="18"/>
  <c r="E7" i="13"/>
  <c r="E39" i="13"/>
  <c r="E40" i="13" s="1"/>
  <c r="I42" i="13"/>
  <c r="H42" i="13" s="1"/>
  <c r="G42" i="13" s="1"/>
  <c r="F42" i="13" s="1"/>
  <c r="E42" i="13" s="1"/>
  <c r="F47" i="3"/>
  <c r="M7" i="13"/>
  <c r="H7" i="13"/>
  <c r="N7" i="18"/>
  <c r="J7" i="13"/>
  <c r="K7" i="18"/>
  <c r="L7" i="18"/>
  <c r="N7" i="13"/>
  <c r="E7" i="18"/>
  <c r="O7" i="18"/>
  <c r="G3" i="13"/>
  <c r="H3" i="13"/>
  <c r="K3" i="13"/>
  <c r="I11" i="13"/>
  <c r="N3" i="13"/>
  <c r="M3" i="13"/>
  <c r="L3" i="13"/>
  <c r="F3" i="13"/>
  <c r="O3" i="13"/>
  <c r="Q3" i="13"/>
  <c r="E3" i="13"/>
  <c r="J3" i="13"/>
  <c r="P3" i="13"/>
  <c r="M41" i="18" l="1"/>
  <c r="M42" i="18" s="1"/>
  <c r="N42" i="18" s="1"/>
  <c r="O42" i="18" s="1"/>
  <c r="F11" i="13"/>
  <c r="J42" i="18"/>
  <c r="I42" i="18" s="1"/>
  <c r="H42" i="18" s="1"/>
  <c r="Q11" i="13"/>
  <c r="N11" i="13"/>
  <c r="E41" i="13"/>
  <c r="P11" i="13"/>
  <c r="L11" i="13"/>
  <c r="K11" i="13"/>
  <c r="J11" i="13"/>
  <c r="M11" i="13"/>
  <c r="D3" i="13"/>
  <c r="E9" i="13" s="1"/>
  <c r="O9" i="13"/>
  <c r="I9" i="13"/>
  <c r="H11" i="13"/>
  <c r="H9" i="13"/>
  <c r="M9" i="13"/>
  <c r="L9" i="13"/>
  <c r="G9" i="13"/>
  <c r="E11" i="13"/>
  <c r="P9" i="13"/>
  <c r="F9" i="13"/>
  <c r="N9" i="13"/>
  <c r="G11" i="13"/>
  <c r="K9" i="13"/>
  <c r="J9" i="13"/>
  <c r="Q9" i="13"/>
  <c r="O11" i="13"/>
  <c r="D11" i="13" l="1"/>
  <c r="D12" i="13"/>
  <c r="E12" i="13" s="1"/>
  <c r="G42" i="18"/>
  <c r="E14" i="13" l="1"/>
  <c r="F12" i="13"/>
  <c r="G12" i="13" s="1"/>
  <c r="F42" i="18"/>
  <c r="B15" i="6"/>
  <c r="O86" i="1"/>
  <c r="P78" i="1"/>
  <c r="Q78" i="1" s="1"/>
  <c r="F14" i="13" l="1"/>
  <c r="F23" i="13" s="1"/>
  <c r="F43" i="13" s="1"/>
  <c r="E19" i="13"/>
  <c r="E23" i="13"/>
  <c r="E20" i="13"/>
  <c r="E21" i="13"/>
  <c r="E42" i="18"/>
  <c r="P86" i="1"/>
  <c r="H12" i="13"/>
  <c r="I12" i="13" s="1"/>
  <c r="G14" i="13"/>
  <c r="D20" i="3"/>
  <c r="B3" i="18" s="1"/>
  <c r="E43" i="13" l="1"/>
  <c r="F21" i="13"/>
  <c r="F20" i="13"/>
  <c r="F19" i="13"/>
  <c r="R78" i="1"/>
  <c r="S78" i="1" s="1"/>
  <c r="D42" i="18"/>
  <c r="B12" i="18"/>
  <c r="B11" i="18"/>
  <c r="I3" i="18"/>
  <c r="D3" i="18"/>
  <c r="H3" i="18"/>
  <c r="L3" i="18"/>
  <c r="M3" i="18"/>
  <c r="G3" i="18"/>
  <c r="O3" i="18"/>
  <c r="E3" i="18"/>
  <c r="C3" i="18"/>
  <c r="C9" i="18" s="1"/>
  <c r="J3" i="18"/>
  <c r="K3" i="18"/>
  <c r="F3" i="18"/>
  <c r="N3" i="18"/>
  <c r="Q86" i="1"/>
  <c r="G20" i="13"/>
  <c r="G19" i="13"/>
  <c r="G23" i="13"/>
  <c r="G43" i="13" s="1"/>
  <c r="G21" i="13"/>
  <c r="H14" i="13"/>
  <c r="C12" i="18" l="1"/>
  <c r="C42" i="18"/>
  <c r="D9" i="18"/>
  <c r="L9" i="18"/>
  <c r="L11" i="18"/>
  <c r="N9" i="18"/>
  <c r="N11" i="18"/>
  <c r="M9" i="18"/>
  <c r="M11" i="18"/>
  <c r="G9" i="18"/>
  <c r="G11" i="18"/>
  <c r="C11" i="18"/>
  <c r="H9" i="18"/>
  <c r="H11" i="18"/>
  <c r="F9" i="18"/>
  <c r="F11" i="18"/>
  <c r="E9" i="18"/>
  <c r="E11" i="18"/>
  <c r="J9" i="18"/>
  <c r="J11" i="18"/>
  <c r="D11" i="18"/>
  <c r="K11" i="18"/>
  <c r="K9" i="18"/>
  <c r="O11" i="18"/>
  <c r="O9" i="18"/>
  <c r="I9" i="18"/>
  <c r="I11" i="18"/>
  <c r="R86" i="1"/>
  <c r="H23" i="13"/>
  <c r="H43" i="13" s="1"/>
  <c r="H20" i="13"/>
  <c r="H19" i="13"/>
  <c r="H21" i="13"/>
  <c r="I14" i="13"/>
  <c r="J12" i="13"/>
  <c r="C14" i="18" l="1"/>
  <c r="C23" i="18" s="1"/>
  <c r="D12" i="18"/>
  <c r="S86" i="1"/>
  <c r="J14" i="13"/>
  <c r="K12" i="13"/>
  <c r="L12" i="13" s="1"/>
  <c r="I19" i="13"/>
  <c r="I23" i="13"/>
  <c r="I43" i="13" s="1"/>
  <c r="I20" i="13"/>
  <c r="I21" i="13"/>
  <c r="C43" i="18" l="1"/>
  <c r="C19" i="18"/>
  <c r="C20" i="18"/>
  <c r="C21" i="18"/>
  <c r="E12" i="18"/>
  <c r="E14" i="18" s="1"/>
  <c r="D14" i="18"/>
  <c r="D23" i="18" s="1"/>
  <c r="D43" i="18" s="1"/>
  <c r="K14" i="13"/>
  <c r="J21" i="13"/>
  <c r="J23" i="13"/>
  <c r="J43" i="13" s="1"/>
  <c r="J20" i="13"/>
  <c r="J19" i="13"/>
  <c r="F12" i="18" l="1"/>
  <c r="E23" i="18"/>
  <c r="E19" i="18"/>
  <c r="E20" i="18"/>
  <c r="E21" i="18"/>
  <c r="D21" i="18"/>
  <c r="D20" i="18"/>
  <c r="D19" i="18"/>
  <c r="L14" i="13"/>
  <c r="M12" i="13"/>
  <c r="K21" i="13"/>
  <c r="K23" i="13"/>
  <c r="K43" i="13" s="1"/>
  <c r="K19" i="13"/>
  <c r="K20" i="13"/>
  <c r="E43" i="18" l="1"/>
  <c r="F14" i="18"/>
  <c r="G12" i="18"/>
  <c r="G14" i="18" s="1"/>
  <c r="G21" i="18" s="1"/>
  <c r="L20" i="13"/>
  <c r="L23" i="13"/>
  <c r="E34" i="13" s="1"/>
  <c r="D24" i="20" s="1"/>
  <c r="L19" i="13"/>
  <c r="L21" i="13"/>
  <c r="M14" i="13"/>
  <c r="N12" i="13"/>
  <c r="E28" i="13" l="1"/>
  <c r="D5" i="20" s="1"/>
  <c r="L43" i="13"/>
  <c r="H12" i="18"/>
  <c r="I12" i="18" s="1"/>
  <c r="I14" i="18" s="1"/>
  <c r="I21" i="18" s="1"/>
  <c r="G19" i="18"/>
  <c r="G23" i="18"/>
  <c r="G43" i="18" s="1"/>
  <c r="G20" i="18"/>
  <c r="F21" i="18"/>
  <c r="F23" i="18"/>
  <c r="F43" i="18" s="1"/>
  <c r="F20" i="18"/>
  <c r="F19" i="18"/>
  <c r="N14" i="13"/>
  <c r="O12" i="13"/>
  <c r="M21" i="13"/>
  <c r="M19" i="13"/>
  <c r="M20" i="13"/>
  <c r="M23" i="13"/>
  <c r="M43" i="13" s="1"/>
  <c r="E48" i="13" l="1"/>
  <c r="E54" i="13"/>
  <c r="H14" i="18"/>
  <c r="H21" i="18" s="1"/>
  <c r="J12" i="18"/>
  <c r="K12" i="18" s="1"/>
  <c r="K14" i="18" s="1"/>
  <c r="D11" i="20"/>
  <c r="I23" i="18"/>
  <c r="I43" i="18" s="1"/>
  <c r="I20" i="18"/>
  <c r="I19" i="18"/>
  <c r="O14" i="13"/>
  <c r="P12" i="13"/>
  <c r="N20" i="13"/>
  <c r="N23" i="13"/>
  <c r="N43" i="13" s="1"/>
  <c r="N21" i="13"/>
  <c r="N19" i="13"/>
  <c r="D28" i="20" l="1"/>
  <c r="E68" i="13"/>
  <c r="D32" i="20" s="1"/>
  <c r="E32" i="20" s="1"/>
  <c r="H19" i="18"/>
  <c r="H20" i="18"/>
  <c r="H23" i="18"/>
  <c r="L12" i="18"/>
  <c r="M12" i="18" s="1"/>
  <c r="J14" i="18"/>
  <c r="J20" i="18" s="1"/>
  <c r="K20" i="18"/>
  <c r="K21" i="18"/>
  <c r="K19" i="18"/>
  <c r="K23" i="18"/>
  <c r="K43" i="18" s="1"/>
  <c r="P14" i="13"/>
  <c r="Q12" i="13"/>
  <c r="Q14" i="13" s="1"/>
  <c r="O19" i="13"/>
  <c r="O21" i="13"/>
  <c r="O20" i="13"/>
  <c r="O23" i="13"/>
  <c r="O43" i="13" s="1"/>
  <c r="H43" i="18" l="1"/>
  <c r="L14" i="18"/>
  <c r="L23" i="18" s="1"/>
  <c r="L43" i="18" s="1"/>
  <c r="J19" i="18"/>
  <c r="J21" i="18"/>
  <c r="J23" i="18"/>
  <c r="J43" i="18" s="1"/>
  <c r="N12" i="18"/>
  <c r="M14" i="18"/>
  <c r="Q20" i="13"/>
  <c r="Q19" i="13"/>
  <c r="Q23" i="13"/>
  <c r="Q43" i="13" s="1"/>
  <c r="Q21" i="13"/>
  <c r="P20" i="13"/>
  <c r="P21" i="13"/>
  <c r="P19" i="13"/>
  <c r="P23" i="13"/>
  <c r="P43" i="13" s="1"/>
  <c r="E48" i="18" l="1"/>
  <c r="C11" i="20" s="1"/>
  <c r="E11" i="20" s="1"/>
  <c r="E54" i="18"/>
  <c r="C28" i="20" s="1"/>
  <c r="E34" i="18"/>
  <c r="C24" i="20" s="1"/>
  <c r="E24" i="20" s="1"/>
  <c r="E28" i="18"/>
  <c r="L19" i="18"/>
  <c r="L21" i="18"/>
  <c r="L20" i="18"/>
  <c r="C5" i="20"/>
  <c r="E5" i="20" s="1"/>
  <c r="E50" i="13"/>
  <c r="E30" i="13"/>
  <c r="D6" i="20" s="1"/>
  <c r="D7" i="20" s="1"/>
  <c r="M20" i="18"/>
  <c r="M23" i="18"/>
  <c r="M43" i="18" s="1"/>
  <c r="M21" i="18"/>
  <c r="M19" i="18"/>
  <c r="O12" i="18"/>
  <c r="N14" i="18"/>
  <c r="D12" i="20" l="1"/>
  <c r="D13" i="20" s="1"/>
  <c r="E52" i="13"/>
  <c r="E61" i="13" s="1"/>
  <c r="O14" i="18"/>
  <c r="O19" i="18" s="1"/>
  <c r="E32" i="13"/>
  <c r="N20" i="18"/>
  <c r="N21" i="18"/>
  <c r="N19" i="18"/>
  <c r="N23" i="18"/>
  <c r="N43" i="18" s="1"/>
  <c r="D17" i="20" l="1"/>
  <c r="E28" i="20"/>
  <c r="O21" i="18"/>
  <c r="O23" i="18"/>
  <c r="O43" i="18" s="1"/>
  <c r="E50" i="18" s="1"/>
  <c r="C12" i="20" s="1"/>
  <c r="O20" i="18"/>
  <c r="E30" i="18" l="1"/>
  <c r="E32" i="18" s="1"/>
  <c r="E52" i="18"/>
  <c r="E61" i="18" s="1"/>
  <c r="C13" i="20"/>
  <c r="E13" i="20" s="1"/>
  <c r="E12" i="20"/>
  <c r="C6" i="20" l="1"/>
  <c r="E6" i="20" s="1"/>
  <c r="C17" i="20" l="1"/>
  <c r="E17" i="20" s="1"/>
  <c r="C7" i="20"/>
  <c r="E7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Tomo Sandeman</author>
  </authors>
  <commentList>
    <comment ref="O87" authorId="0" shapeId="0" xr:uid="{C50A6BF4-CC96-43F9-B536-2A03CF8BD07C}">
      <text>
        <r>
          <rPr>
            <sz val="9"/>
            <color indexed="81"/>
            <rFont val="Tahoma"/>
            <family val="2"/>
          </rPr>
          <t>The ED2 price control transitions from RPI to CPIH in 2023/24.  In practice this means the FY average growth will fall between RPI and CPIH.
This forecast used the average of the RPI and CPI March 2023 forecast for 2023-24 from the OBR.  
Ie (6.36% + 4.14%)/2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Tomo Sandeman</author>
    <author>Peter Lomas</author>
  </authors>
  <commentList>
    <comment ref="O35" authorId="0" shapeId="0" xr:uid="{B0CE6711-A066-4E7A-BBD8-2516AD970A00}">
      <text>
        <r>
          <rPr>
            <sz val="9"/>
            <color indexed="81"/>
            <rFont val="Tahoma"/>
            <family val="2"/>
          </rPr>
          <t>The ED2 price control transitions from RPI to CPIH in 2023/24.  In practice this means the FY average growth will fall between RPI and CPIH.
This forecast used the average of the RPI and CPI March 2023 forecast for 2023-24 from the OBR.  
Ie (6.36% + 4.14%)/2</t>
        </r>
      </text>
    </comment>
    <comment ref="S35" authorId="1" shapeId="0" xr:uid="{38AD959E-ED6E-442A-9205-16ABB37DCD7A}">
      <text>
        <r>
          <rPr>
            <sz val="9"/>
            <color indexed="81"/>
            <rFont val="Tahoma"/>
            <family val="2"/>
          </rPr>
          <t>Only uses OBR forecast because it is beyond the range of HMT forecasts</t>
        </r>
      </text>
    </comment>
  </commentList>
</comments>
</file>

<file path=xl/sharedStrings.xml><?xml version="1.0" encoding="utf-8"?>
<sst xmlns="http://schemas.openxmlformats.org/spreadsheetml/2006/main" count="736" uniqueCount="195">
  <si>
    <t>ET/GD/GT NPV-Neutral RAV Data - 2018/19 prices</t>
  </si>
  <si>
    <t>ET2 Price Control Financial Model | Ofgem</t>
  </si>
  <si>
    <t>Version published 13 December 2022</t>
  </si>
  <si>
    <t>GD2 Price Control Financial Model | Ofgem</t>
  </si>
  <si>
    <t>Version published 30 January 2023</t>
  </si>
  <si>
    <t>GT2 Price Control Financial Model | Ofgem</t>
  </si>
  <si>
    <t>Core RAV</t>
  </si>
  <si>
    <t>Financial year ending 31 March</t>
  </si>
  <si>
    <t>Sector</t>
  </si>
  <si>
    <t>Company</t>
  </si>
  <si>
    <t>Network</t>
  </si>
  <si>
    <t>Electricity Transmission</t>
  </si>
  <si>
    <t>NGET</t>
  </si>
  <si>
    <t>SPEN</t>
  </si>
  <si>
    <t>SPTL</t>
  </si>
  <si>
    <t>SSE</t>
  </si>
  <si>
    <t>SHET</t>
  </si>
  <si>
    <t>Gas Distribution</t>
  </si>
  <si>
    <t>Cadent</t>
  </si>
  <si>
    <t>East</t>
  </si>
  <si>
    <t>London</t>
  </si>
  <si>
    <t>North West</t>
  </si>
  <si>
    <t>West Midlands</t>
  </si>
  <si>
    <t>NGN</t>
  </si>
  <si>
    <t>Northern</t>
  </si>
  <si>
    <t>SGN</t>
  </si>
  <si>
    <t>Scotland</t>
  </si>
  <si>
    <t>Southern</t>
  </si>
  <si>
    <t>WWU</t>
  </si>
  <si>
    <t>Wales &amp; West</t>
  </si>
  <si>
    <t>Gas Transmission</t>
  </si>
  <si>
    <t>NGT</t>
  </si>
  <si>
    <t>NGGT SO</t>
  </si>
  <si>
    <t>NGGT TO</t>
  </si>
  <si>
    <t>ET non-core RAV: opening balance after transfers</t>
  </si>
  <si>
    <t>ET non-core RAV: closing balance</t>
  </si>
  <si>
    <t>ET non-core RAV: NPV neutral RAV</t>
  </si>
  <si>
    <t>Core and Non-core RAV</t>
  </si>
  <si>
    <t>ED NPV Neutral RAV Data - 2020/21 prices</t>
  </si>
  <si>
    <t>Decision on the proposed modifications to the RIIO-2 Electricity Distribution licences | Ofgem</t>
  </si>
  <si>
    <t>https://www.ofgem.gov.uk/sites/default/files/2023-02/RIIO-ED2%20Licence%20Instruments%20and%20Associated%20Documents.zip</t>
  </si>
  <si>
    <t>Version published 3 February 2023</t>
  </si>
  <si>
    <t>Electricity Distribution</t>
  </si>
  <si>
    <t>ENW</t>
  </si>
  <si>
    <t>ENWL</t>
  </si>
  <si>
    <t>NPg</t>
  </si>
  <si>
    <t>NPgN</t>
  </si>
  <si>
    <t>NPgY</t>
  </si>
  <si>
    <t>SPD</t>
  </si>
  <si>
    <t>SPMW</t>
  </si>
  <si>
    <t>SSEH</t>
  </si>
  <si>
    <t>SSES</t>
  </si>
  <si>
    <t>UKPN</t>
  </si>
  <si>
    <t>EPN</t>
  </si>
  <si>
    <t>LPN</t>
  </si>
  <si>
    <t>SPN</t>
  </si>
  <si>
    <t>WPD</t>
  </si>
  <si>
    <t>EMID</t>
  </si>
  <si>
    <t>SWALES</t>
  </si>
  <si>
    <t>SWEST</t>
  </si>
  <si>
    <t>WMID</t>
  </si>
  <si>
    <t>ET/GD/GT PCFM Inflation Index (RPI -&gt; CPIH)</t>
  </si>
  <si>
    <t>Outturn to 2022/23, then grown by FY forecast growth rates from the OBR March 2023, Table 1.7 of Supplementary Economy Tables from row 106.</t>
  </si>
  <si>
    <t>Economic and fiscal outlook - March 2023 - Office for Budget Responsibility (obr.uk)</t>
  </si>
  <si>
    <t>OUTTURN</t>
  </si>
  <si>
    <t>FORECAST</t>
  </si>
  <si>
    <t>Combined RPI-CPIH price index (financial year average)</t>
  </si>
  <si>
    <t>Combined RPI-CPIH inflation (financial year average)</t>
  </si>
  <si>
    <t>ED PCFM Inflation Index (RPI -&gt; CPIH)</t>
  </si>
  <si>
    <t>Outturn to 2022/23, then grown by FY forecast growth rates from the OBR March 2023.  See note for ED2 transition to CPIH in 2023/24</t>
  </si>
  <si>
    <t>Inflation Data</t>
  </si>
  <si>
    <t>ONS Consumer Price Inflation Dataset, Financial Year averages of Table 6a</t>
  </si>
  <si>
    <t>Consumer price inflation tables - Office for National Statistics</t>
  </si>
  <si>
    <t>CPIH Index</t>
  </si>
  <si>
    <t>OBR CPI Forecast</t>
  </si>
  <si>
    <t>HMT Medium-term forecasts May'23</t>
  </si>
  <si>
    <t>Calendar year CPI inflation forecast</t>
  </si>
  <si>
    <t>Financial year CPI inflation forecast</t>
  </si>
  <si>
    <t>Calendar year RPI inflation forecast</t>
  </si>
  <si>
    <t>Financial year RPI inflation forecast</t>
  </si>
  <si>
    <t>Notional gearing</t>
  </si>
  <si>
    <t>RIIO-2 PCFMs as above</t>
  </si>
  <si>
    <t>% of inflation linked debt</t>
  </si>
  <si>
    <t>Break-even inflation and long-run assumption used in indexation models</t>
  </si>
  <si>
    <t>2019 CoD Indexation Model</t>
  </si>
  <si>
    <t>GD2/T2/ED2 WACC Allowance Models</t>
  </si>
  <si>
    <t>10 year trail for T1/10-14 for T2</t>
  </si>
  <si>
    <t>10 - 20-year trail for ED1, 17 year for ED2</t>
  </si>
  <si>
    <t>Real WACC used for present value presentation of figures</t>
  </si>
  <si>
    <t>Assumptions used for bill impact calculation</t>
  </si>
  <si>
    <t>Number of customers/MPANS (millions)</t>
  </si>
  <si>
    <t>MPANs (millions)</t>
  </si>
  <si>
    <t>% MPANs domestic</t>
  </si>
  <si>
    <t>% revenue attributed to domestic customers</t>
  </si>
  <si>
    <t>Simple single-year model of impact, see provided note</t>
  </si>
  <si>
    <t>R</t>
  </si>
  <si>
    <t>RAV in constant price</t>
  </si>
  <si>
    <t>π</t>
  </si>
  <si>
    <t>outturn inflation</t>
  </si>
  <si>
    <r>
      <t>π</t>
    </r>
    <r>
      <rPr>
        <vertAlign val="superscript"/>
        <sz val="11"/>
        <color theme="1"/>
        <rFont val="Calibri"/>
        <family val="2"/>
        <scheme val="minor"/>
      </rPr>
      <t>A</t>
    </r>
  </si>
  <si>
    <t>long-run inflation</t>
  </si>
  <si>
    <t>R'</t>
  </si>
  <si>
    <t>equation (1)</t>
  </si>
  <si>
    <t>RAV increase over and above long-term expectation</t>
  </si>
  <si>
    <t>g</t>
  </si>
  <si>
    <t>gearing assumption</t>
  </si>
  <si>
    <t>L</t>
  </si>
  <si>
    <t>inflation-linked debt</t>
  </si>
  <si>
    <t>D'</t>
  </si>
  <si>
    <t>equation (2)</t>
  </si>
  <si>
    <t>Principal accretion above long-term expectation</t>
  </si>
  <si>
    <t>E'</t>
  </si>
  <si>
    <t>equation (3)</t>
  </si>
  <si>
    <t>Equity increase above long-term expectation</t>
  </si>
  <si>
    <t>N'</t>
  </si>
  <si>
    <t>equation (5)</t>
  </si>
  <si>
    <t>"normal" equity increase which maintains constant real equity return for inflation above long-term expectation</t>
  </si>
  <si>
    <t>X</t>
  </si>
  <si>
    <t>equation (6)</t>
  </si>
  <si>
    <t>"Excess" return due to fixed rate debt</t>
  </si>
  <si>
    <t>RAV in £m 15/16 prices</t>
  </si>
  <si>
    <t>in year outturn inflation scalar</t>
  </si>
  <si>
    <t>in year alternate inflation scalar</t>
  </si>
  <si>
    <t>Π</t>
  </si>
  <si>
    <t>equation (7)</t>
  </si>
  <si>
    <t>outturn cumulative inflation</t>
  </si>
  <si>
    <r>
      <t>A</t>
    </r>
    <r>
      <rPr>
        <vertAlign val="subscript"/>
        <sz val="11"/>
        <color theme="1"/>
        <rFont val="Calibri"/>
        <family val="2"/>
        <scheme val="minor"/>
      </rPr>
      <t>t</t>
    </r>
  </si>
  <si>
    <t>equation (8)</t>
  </si>
  <si>
    <t>the change in RAV based on outturn inflation</t>
  </si>
  <si>
    <r>
      <t>R</t>
    </r>
    <r>
      <rPr>
        <vertAlign val="superscript"/>
        <sz val="11"/>
        <color theme="1"/>
        <rFont val="Calibri"/>
        <family val="2"/>
        <scheme val="minor"/>
      </rPr>
      <t>N</t>
    </r>
  </si>
  <si>
    <t>equation (9)</t>
  </si>
  <si>
    <t>outturn nominal RAV</t>
  </si>
  <si>
    <r>
      <t>R</t>
    </r>
    <r>
      <rPr>
        <vertAlign val="superscript"/>
        <sz val="11"/>
        <color theme="1"/>
        <rFont val="Calibri"/>
        <family val="2"/>
        <scheme val="minor"/>
      </rPr>
      <t>A</t>
    </r>
  </si>
  <si>
    <t>equation (10)</t>
  </si>
  <si>
    <t>alternate with historical t-1 RAV indexed to long-term inflation estimate</t>
  </si>
  <si>
    <t>equation (11)</t>
  </si>
  <si>
    <t>marginal RAV increase over long term expectation</t>
  </si>
  <si>
    <t>Select inflation forecast to use in model:</t>
  </si>
  <si>
    <t>OBR Mar'23</t>
  </si>
  <si>
    <t>HMT May'23</t>
  </si>
  <si>
    <t>ET/GD/GT Sector</t>
  </si>
  <si>
    <t>1. outturn inflation scalar from 2012/13</t>
  </si>
  <si>
    <t>Outturn inflation scalar</t>
  </si>
  <si>
    <t>2. create a "long run" counterfactual price index</t>
  </si>
  <si>
    <t>Long-run inflation scalar</t>
  </si>
  <si>
    <t>3. convert RAV into 2012/13 prices</t>
  </si>
  <si>
    <t>18/19 prices to 2012/13 prices</t>
  </si>
  <si>
    <t>Total RAV in £m 2012/13 prices</t>
  </si>
  <si>
    <t>4. Calculate average inflation linked debt % and gearing</t>
  </si>
  <si>
    <t>5. Calculate weighted average WACC</t>
  </si>
  <si>
    <t>ED Sector</t>
  </si>
  <si>
    <t>1. outturn inflation scalar from 2014/15</t>
  </si>
  <si>
    <t>3. convert RAV into 2014/15 prices</t>
  </si>
  <si>
    <t>20/21 prices to 2014/15 prices</t>
  </si>
  <si>
    <t>Total RAV in £m 2014/15 prices</t>
  </si>
  <si>
    <t>RAV in £m 12/13 prices</t>
  </si>
  <si>
    <t>Total RIIO-1 excess (£m)</t>
  </si>
  <si>
    <t>Sum</t>
  </si>
  <si>
    <t>Total RIIO-2 excess (£m)</t>
  </si>
  <si>
    <t>Total excess since 2013/14 (£m)</t>
  </si>
  <si>
    <t>Total excess outturn years (to 2022/23)</t>
  </si>
  <si>
    <t>NPV calculation</t>
  </si>
  <si>
    <t>T/GD blended WACC (real)</t>
  </si>
  <si>
    <t>Actual inflation</t>
  </si>
  <si>
    <t>T/GD blended WACC (nominal)</t>
  </si>
  <si>
    <t>Annual discount rate</t>
  </si>
  <si>
    <t>Annual discount factor (base year 2023)</t>
  </si>
  <si>
    <t xml:space="preserve">Discounted annual gain/loss </t>
  </si>
  <si>
    <t>Bill impact calculation: RIIO-1 and RIIO-2</t>
  </si>
  <si>
    <t>T/GD blended average WACC (nominal)</t>
  </si>
  <si>
    <t>T/GD blended customers</t>
  </si>
  <si>
    <t>T/GD blended % domestic customers</t>
  </si>
  <si>
    <t>T/GD blended % domestic revenue attribution</t>
  </si>
  <si>
    <t>Annuitised impact (rounded to 1dp)</t>
  </si>
  <si>
    <t>Bill impact calculation: outturn years</t>
  </si>
  <si>
    <t>-</t>
  </si>
  <si>
    <t>RAV in £m 14/15 prices</t>
  </si>
  <si>
    <t>Total excess since 2015/16 (£m)</t>
  </si>
  <si>
    <t>WACC (real)</t>
  </si>
  <si>
    <t>WACC (nominal)</t>
  </si>
  <si>
    <t>Average WACC (nominal)</t>
  </si>
  <si>
    <t>Customers</t>
  </si>
  <si>
    <t>% domestic customers</t>
  </si>
  <si>
    <t>% domestic revenue attribution</t>
  </si>
  <si>
    <t>FORECAST RIIO-1 and RIIO-2 total</t>
  </si>
  <si>
    <t>Total "excess" (nominal £m)</t>
  </si>
  <si>
    <t>ET-GT-GD</t>
  </si>
  <si>
    <t>ED</t>
  </si>
  <si>
    <t>Total</t>
  </si>
  <si>
    <t>RIIO-1</t>
  </si>
  <si>
    <t>RIIO-2</t>
  </si>
  <si>
    <t>Total "excess" (present value, base year 2023)</t>
  </si>
  <si>
    <t>Indicative bill impact (£ annual per domestic customer)</t>
  </si>
  <si>
    <t>OUTTURN ONLY (From RIIO-1 start to 2022/23)</t>
  </si>
  <si>
    <t>Outturn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</si>
</sst>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1" fontId="0" fillId="0" borderId="0" xfId="0" applyNumberFormat="1"/>
    <xf numFmtId="0" fontId="6" fillId="0" borderId="0" xfId="0" applyFont="1"/>
    <xf numFmtId="0" fontId="7" fillId="0" borderId="0" xfId="5"/>
    <xf numFmtId="0" fontId="6" fillId="4" borderId="0" xfId="0" applyFont="1" applyFill="1"/>
    <xf numFmtId="0" fontId="0" fillId="4" borderId="0" xfId="0" applyFill="1"/>
    <xf numFmtId="0" fontId="6" fillId="5" borderId="0" xfId="0" applyFont="1" applyFill="1"/>
    <xf numFmtId="0" fontId="0" fillId="5" borderId="0" xfId="0" applyFill="1"/>
    <xf numFmtId="0" fontId="8" fillId="6" borderId="0" xfId="0" applyFont="1" applyFill="1"/>
    <xf numFmtId="2" fontId="0" fillId="0" borderId="0" xfId="0" applyNumberFormat="1"/>
    <xf numFmtId="10" fontId="0" fillId="0" borderId="0" xfId="1" applyNumberFormat="1" applyFont="1"/>
    <xf numFmtId="0" fontId="9" fillId="6" borderId="0" xfId="0" applyFont="1" applyFill="1"/>
    <xf numFmtId="165" fontId="0" fillId="0" borderId="0" xfId="0" applyNumberFormat="1"/>
    <xf numFmtId="0" fontId="9" fillId="7" borderId="0" xfId="0" applyFont="1" applyFill="1"/>
    <xf numFmtId="0" fontId="0" fillId="8" borderId="0" xfId="0" applyFill="1"/>
    <xf numFmtId="10" fontId="5" fillId="0" borderId="0" xfId="1" applyNumberFormat="1" applyFont="1"/>
    <xf numFmtId="0" fontId="6" fillId="8" borderId="0" xfId="0" applyFont="1" applyFill="1"/>
    <xf numFmtId="9" fontId="0" fillId="0" borderId="0" xfId="0" applyNumberFormat="1"/>
    <xf numFmtId="10" fontId="0" fillId="0" borderId="0" xfId="0" applyNumberForma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2" borderId="1" xfId="2"/>
    <xf numFmtId="9" fontId="2" fillId="2" borderId="1" xfId="2" applyNumberFormat="1"/>
    <xf numFmtId="0" fontId="3" fillId="3" borderId="2" xfId="3"/>
    <xf numFmtId="2" fontId="2" fillId="2" borderId="1" xfId="2" applyNumberFormat="1"/>
    <xf numFmtId="1" fontId="2" fillId="2" borderId="1" xfId="2" applyNumberFormat="1"/>
    <xf numFmtId="1" fontId="4" fillId="3" borderId="1" xfId="4" applyNumberFormat="1"/>
    <xf numFmtId="1" fontId="3" fillId="3" borderId="2" xfId="3" applyNumberFormat="1"/>
    <xf numFmtId="0" fontId="5" fillId="0" borderId="0" xfId="0" applyFont="1"/>
    <xf numFmtId="0" fontId="6" fillId="0" borderId="3" xfId="0" applyFont="1" applyBorder="1"/>
    <xf numFmtId="164" fontId="2" fillId="2" borderId="4" xfId="2" applyNumberFormat="1" applyBorder="1"/>
    <xf numFmtId="0" fontId="0" fillId="10" borderId="0" xfId="0" applyFill="1"/>
    <xf numFmtId="2" fontId="2" fillId="2" borderId="1" xfId="1" applyNumberFormat="1" applyFont="1" applyFill="1" applyBorder="1"/>
    <xf numFmtId="1" fontId="6" fillId="0" borderId="0" xfId="0" applyNumberFormat="1" applyFont="1"/>
    <xf numFmtId="1" fontId="13" fillId="0" borderId="0" xfId="0" applyNumberFormat="1" applyFont="1"/>
    <xf numFmtId="166" fontId="2" fillId="2" borderId="1" xfId="1" applyNumberFormat="1" applyFont="1" applyFill="1" applyBorder="1"/>
    <xf numFmtId="2" fontId="4" fillId="3" borderId="1" xfId="4" applyNumberFormat="1"/>
    <xf numFmtId="9" fontId="0" fillId="0" borderId="0" xfId="1" applyFont="1"/>
    <xf numFmtId="0" fontId="14" fillId="0" borderId="0" xfId="0" applyFont="1"/>
    <xf numFmtId="165" fontId="3" fillId="3" borderId="2" xfId="3" applyNumberFormat="1"/>
    <xf numFmtId="0" fontId="15" fillId="0" borderId="0" xfId="0" applyFont="1"/>
    <xf numFmtId="10" fontId="16" fillId="0" borderId="0" xfId="1" applyNumberFormat="1" applyFont="1"/>
    <xf numFmtId="10" fontId="2" fillId="2" borderId="4" xfId="2" applyNumberFormat="1" applyBorder="1"/>
    <xf numFmtId="1" fontId="17" fillId="2" borderId="1" xfId="2" applyNumberFormat="1" applyFont="1"/>
    <xf numFmtId="0" fontId="0" fillId="0" borderId="0" xfId="0" applyAlignment="1">
      <alignment horizontal="left"/>
    </xf>
    <xf numFmtId="10" fontId="2" fillId="2" borderId="1" xfId="1" applyNumberFormat="1" applyFont="1" applyFill="1" applyBorder="1"/>
    <xf numFmtId="10" fontId="4" fillId="3" borderId="1" xfId="1" applyNumberFormat="1" applyFont="1" applyFill="1" applyBorder="1"/>
    <xf numFmtId="43" fontId="4" fillId="3" borderId="1" xfId="6" applyFont="1" applyFill="1" applyBorder="1"/>
    <xf numFmtId="167" fontId="0" fillId="0" borderId="0" xfId="6" applyNumberFormat="1" applyFont="1"/>
    <xf numFmtId="2" fontId="3" fillId="3" borderId="2" xfId="3" applyNumberFormat="1"/>
    <xf numFmtId="2" fontId="6" fillId="0" borderId="0" xfId="0" applyNumberFormat="1" applyFont="1"/>
    <xf numFmtId="165" fontId="2" fillId="2" borderId="1" xfId="1" applyNumberFormat="1" applyFont="1" applyFill="1" applyBorder="1"/>
    <xf numFmtId="1" fontId="19" fillId="0" borderId="0" xfId="0" applyNumberFormat="1" applyFont="1"/>
    <xf numFmtId="1" fontId="20" fillId="0" borderId="0" xfId="0" applyNumberFormat="1" applyFont="1"/>
    <xf numFmtId="167" fontId="18" fillId="0" borderId="0" xfId="6" applyNumberFormat="1" applyFont="1"/>
    <xf numFmtId="10" fontId="21" fillId="0" borderId="0" xfId="0" applyNumberFormat="1" applyFont="1"/>
    <xf numFmtId="0" fontId="22" fillId="0" borderId="0" xfId="0" applyFont="1" applyAlignment="1">
      <alignment vertical="center" wrapText="1"/>
    </xf>
    <xf numFmtId="8" fontId="0" fillId="0" borderId="0" xfId="0" applyNumberFormat="1"/>
    <xf numFmtId="43" fontId="0" fillId="0" borderId="0" xfId="0" applyNumberFormat="1"/>
    <xf numFmtId="43" fontId="0" fillId="0" borderId="0" xfId="6" applyFont="1"/>
    <xf numFmtId="167" fontId="0" fillId="0" borderId="0" xfId="0" applyNumberFormat="1"/>
    <xf numFmtId="165" fontId="23" fillId="0" borderId="0" xfId="0" applyNumberFormat="1" applyFont="1"/>
    <xf numFmtId="10" fontId="23" fillId="0" borderId="0" xfId="1" applyNumberFormat="1" applyFont="1"/>
    <xf numFmtId="10" fontId="23" fillId="9" borderId="0" xfId="1" applyNumberFormat="1" applyFont="1" applyFill="1"/>
    <xf numFmtId="0" fontId="24" fillId="0" borderId="0" xfId="0" applyFont="1"/>
    <xf numFmtId="10" fontId="23" fillId="0" borderId="5" xfId="1" applyNumberFormat="1" applyFont="1" applyBorder="1"/>
    <xf numFmtId="0" fontId="24" fillId="3" borderId="1" xfId="4" applyFont="1"/>
    <xf numFmtId="2" fontId="24" fillId="3" borderId="1" xfId="4" applyNumberFormat="1" applyFont="1"/>
    <xf numFmtId="1" fontId="24" fillId="3" borderId="1" xfId="4" applyNumberFormat="1" applyFont="1"/>
    <xf numFmtId="165" fontId="24" fillId="3" borderId="1" xfId="4" applyNumberFormat="1" applyFont="1"/>
    <xf numFmtId="2" fontId="23" fillId="0" borderId="0" xfId="0" applyNumberFormat="1" applyFont="1"/>
    <xf numFmtId="10" fontId="24" fillId="3" borderId="1" xfId="1" applyNumberFormat="1" applyFont="1" applyFill="1" applyBorder="1"/>
    <xf numFmtId="43" fontId="24" fillId="3" borderId="1" xfId="6" applyFont="1" applyFill="1" applyBorder="1"/>
    <xf numFmtId="164" fontId="0" fillId="0" borderId="0" xfId="0" applyNumberFormat="1"/>
  </cellXfs>
  <cellStyles count="7">
    <cellStyle name="Calculation" xfId="4" builtinId="22"/>
    <cellStyle name="Comma" xfId="6" builtinId="3"/>
    <cellStyle name="Hyperlink" xfId="5" builtinId="8"/>
    <cellStyle name="Input" xfId="2" builtinId="20"/>
    <cellStyle name="Normal" xfId="0" builtinId="0"/>
    <cellStyle name="Output" xfId="3" builtinId="21"/>
    <cellStyle name="Percent" xfId="1" builtinId="5"/>
  </cellStyles>
  <dxfs count="0"/>
  <tableStyles count="0" defaultTableStyle="TableStyleMedium2" defaultPivotStyle="PivotStyleLight16"/>
  <colors>
    <mruColors>
      <color rgb="FF3F3F76"/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ET/GT/GD</a:t>
            </a:r>
            <a:r>
              <a:rPr lang="en-GB" baseline="0"/>
              <a:t> </a:t>
            </a:r>
            <a:r>
              <a:rPr lang="en-GB"/>
              <a:t>Outturn vs Long-run</a:t>
            </a:r>
            <a:r>
              <a:rPr lang="en-GB" baseline="0"/>
              <a:t> Inflation Scalar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'Sector values'!$C$9</c:f>
              <c:strCache>
                <c:ptCount val="1"/>
                <c:pt idx="0">
                  <c:v>Outturn inflation scalar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'Sector values'!$D$7:$Q$7</c:f>
              <c:numCache>
                <c:formatCode>General</c:formatCode>
                <c:ptCount val="1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</c:numCache>
            </c:numRef>
          </c:cat>
          <c:val>
            <c:numRef>
              <c:f>'Sector values'!$D$9:$Q$9</c:f>
              <c:numCache>
                <c:formatCode>0.00</c:formatCode>
                <c:ptCount val="14"/>
                <c:pt idx="0">
                  <c:v>1</c:v>
                </c:pt>
                <c:pt idx="1">
                  <c:v>1.0288477912877627</c:v>
                </c:pt>
                <c:pt idx="2">
                  <c:v>1.0490105922822794</c:v>
                </c:pt>
                <c:pt idx="3">
                  <c:v>1.0603181090562313</c:v>
                </c:pt>
                <c:pt idx="4">
                  <c:v>1.0830353189605264</c:v>
                </c:pt>
                <c:pt idx="5">
                  <c:v>1.1235652736623416</c:v>
                </c:pt>
                <c:pt idx="6">
                  <c:v>1.1578965294097616</c:v>
                </c:pt>
                <c:pt idx="7">
                  <c:v>1.1878682606178266</c:v>
                </c:pt>
                <c:pt idx="8">
                  <c:v>1.2022751268689762</c:v>
                </c:pt>
                <c:pt idx="9">
                  <c:v>1.2560670848123778</c:v>
                </c:pt>
                <c:pt idx="10">
                  <c:v>1.3662760061333989</c:v>
                </c:pt>
                <c:pt idx="11">
                  <c:v>1.4227871319070247</c:v>
                </c:pt>
                <c:pt idx="12">
                  <c:v>1.4314541563667234</c:v>
                </c:pt>
                <c:pt idx="13">
                  <c:v>1.4311360676510541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49-45B9-8501-CB8013DE2A9B}"/>
            </c:ext>
          </c:extLst>
        </c:ser>
        <c:ser>
          <c:idx val="1"/>
          <c:order val="1"/>
          <c:tx>
            <c:strRef>
              <c:f>'Sector values'!$C$15</c:f>
              <c:strCache>
                <c:ptCount val="1"/>
                <c:pt idx="0">
                  <c:v>Long-run inflation scalar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'Sector values'!$D$7:$Q$7</c:f>
              <c:numCache>
                <c:formatCode>General</c:formatCode>
                <c:ptCount val="1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</c:numCache>
            </c:numRef>
          </c:cat>
          <c:val>
            <c:numRef>
              <c:f>'Sector values'!$D$15:$Q$15</c:f>
              <c:numCache>
                <c:formatCode>0.00</c:formatCode>
                <c:ptCount val="14"/>
                <c:pt idx="0">
                  <c:v>1</c:v>
                </c:pt>
                <c:pt idx="1">
                  <c:v>1.0282510812576948</c:v>
                </c:pt>
                <c:pt idx="2">
                  <c:v>1.0579371564297253</c:v>
                </c:pt>
                <c:pt idx="3">
                  <c:v>1.0887632695729901</c:v>
                </c:pt>
                <c:pt idx="4">
                  <c:v>1.120679034060472</c:v>
                </c:pt>
                <c:pt idx="5">
                  <c:v>1.1534035613685272</c:v>
                </c:pt>
                <c:pt idx="6">
                  <c:v>1.1873935686887092</c:v>
                </c:pt>
                <c:pt idx="7">
                  <c:v>1.2223195702105123</c:v>
                </c:pt>
                <c:pt idx="8">
                  <c:v>1.2594939904456082</c:v>
                </c:pt>
                <c:pt idx="9">
                  <c:v>1.2847176641948213</c:v>
                </c:pt>
                <c:pt idx="10">
                  <c:v>1.3104446021714751</c:v>
                </c:pt>
                <c:pt idx="11">
                  <c:v>1.3366839635560195</c:v>
                </c:pt>
                <c:pt idx="12">
                  <c:v>1.3630925087969699</c:v>
                </c:pt>
                <c:pt idx="13">
                  <c:v>1.3900465303445464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49-45B9-8501-CB8013DE2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428832"/>
        <c:axId val="738431232"/>
      </c:lineChart>
      <c:catAx>
        <c:axId val="73842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431232"/>
        <c:crosses val="autoZero"/>
        <c:auto val="1"/>
        <c:lblAlgn val="ctr"/>
        <c:lblOffset val="100"/>
        <c:noMultiLvlLbl val="0"/>
      </c:catAx>
      <c:valAx>
        <c:axId val="73843123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42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ED Outturn vs Long-run Inflation Scalar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'Sector values'!$E$36</c:f>
              <c:strCache>
                <c:ptCount val="1"/>
                <c:pt idx="0">
                  <c:v>Outturn inflation scalar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'Sector values'!$F$34:$S$34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</c:numCache>
            </c:numRef>
          </c:cat>
          <c:val>
            <c:numRef>
              <c:f>'Sector values'!$F$36:$S$36</c:f>
              <c:numCache>
                <c:formatCode>0.00</c:formatCode>
                <c:ptCount val="14"/>
                <c:pt idx="0">
                  <c:v>1</c:v>
                </c:pt>
                <c:pt idx="1">
                  <c:v>1.0107792207792208</c:v>
                </c:pt>
                <c:pt idx="2">
                  <c:v>1.0324350649350651</c:v>
                </c:pt>
                <c:pt idx="3">
                  <c:v>1.0710714285714287</c:v>
                </c:pt>
                <c:pt idx="4">
                  <c:v>1.1037987012987014</c:v>
                </c:pt>
                <c:pt idx="5">
                  <c:v>1.1323701298701299</c:v>
                </c:pt>
                <c:pt idx="6">
                  <c:v>1.1461038961038961</c:v>
                </c:pt>
                <c:pt idx="7">
                  <c:v>1.2123051948051946</c:v>
                </c:pt>
                <c:pt idx="8">
                  <c:v>1.3683766233766232</c:v>
                </c:pt>
                <c:pt idx="9">
                  <c:v>1.4402090154243885</c:v>
                </c:pt>
                <c:pt idx="10">
                  <c:v>1.4489821667158478</c:v>
                </c:pt>
                <c:pt idx="11">
                  <c:v>1.4486601830362529</c:v>
                </c:pt>
                <c:pt idx="12">
                  <c:v>1.4608266322606553</c:v>
                </c:pt>
                <c:pt idx="13">
                  <c:v>1.4861941056121395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2E-49C9-86B9-B5382A1E2F9C}"/>
            </c:ext>
          </c:extLst>
        </c:ser>
        <c:ser>
          <c:idx val="1"/>
          <c:order val="1"/>
          <c:tx>
            <c:strRef>
              <c:f>'Sector values'!$E$42</c:f>
              <c:strCache>
                <c:ptCount val="1"/>
                <c:pt idx="0">
                  <c:v>Long-run inflation scalar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'Sector values'!$F$34:$S$34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</c:numCache>
            </c:numRef>
          </c:cat>
          <c:val>
            <c:numRef>
              <c:f>'Sector values'!$F$42:$S$42</c:f>
              <c:numCache>
                <c:formatCode>0.00</c:formatCode>
                <c:ptCount val="14"/>
                <c:pt idx="0">
                  <c:v>1</c:v>
                </c:pt>
                <c:pt idx="1">
                  <c:v>1.0291379435497807</c:v>
                </c:pt>
                <c:pt idx="2">
                  <c:v>1.0590671969242111</c:v>
                </c:pt>
                <c:pt idx="3">
                  <c:v>1.0896974077392059</c:v>
                </c:pt>
                <c:pt idx="4">
                  <c:v>1.1215146944012278</c:v>
                </c:pt>
                <c:pt idx="5">
                  <c:v>1.1545114714403633</c:v>
                </c:pt>
                <c:pt idx="6">
                  <c:v>1.1888482775678875</c:v>
                </c:pt>
                <c:pt idx="7">
                  <c:v>1.224397630367847</c:v>
                </c:pt>
                <c:pt idx="8">
                  <c:v>1.2614754530388586</c:v>
                </c:pt>
                <c:pt idx="9">
                  <c:v>1.2867256669936367</c:v>
                </c:pt>
                <c:pt idx="10">
                  <c:v>1.3122205471799884</c:v>
                </c:pt>
                <c:pt idx="11">
                  <c:v>1.338220616287888</c:v>
                </c:pt>
                <c:pt idx="12">
                  <c:v>1.3647358053062892</c:v>
                </c:pt>
                <c:pt idx="13">
                  <c:v>1.3917763600529749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2E-49C9-86B9-B5382A1E2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2557727"/>
        <c:axId val="2132556767"/>
      </c:lineChart>
      <c:catAx>
        <c:axId val="2132557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2556767"/>
        <c:crosses val="autoZero"/>
        <c:auto val="1"/>
        <c:lblAlgn val="ctr"/>
        <c:lblOffset val="100"/>
        <c:noMultiLvlLbl val="0"/>
      </c:catAx>
      <c:valAx>
        <c:axId val="2132556767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2557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2" dropStyle="combo" dx="22" fmlaLink="'Sector values'!$I$1" fmlaRange="'Sector values'!$J$1:$J$2" noThreeD="1" sel="1" val="0"/>
</file>

<file path=xl/ctrlProps/ctrlProp2.xml><?xml version="1.0" encoding="utf-8"?>
<formControlPr xmlns="http://schemas.microsoft.com/office/spreadsheetml/2009/9/main" objectType="Drop" dropLines="2" dropStyle="combo" dx="22" fmlaLink="'Sector values'!$I$1" fmlaRange="'Sector values'!$J$1:$J$2" noThreeD="1" sel="1" val="0"/>
</file>

<file path=xl/ctrlProps/ctrlProp3.xml><?xml version="1.0" encoding="utf-8"?>
<formControlPr xmlns="http://schemas.microsoft.com/office/spreadsheetml/2009/9/main" objectType="Drop" dropLines="2" dropStyle="combo" dx="22" fmlaLink="'Sector values'!$I$1" fmlaRange="'Sector values'!$J$1:$J$2" noThreeD="1" sel="1" val="0"/>
</file>

<file path=xl/ctrlProps/ctrlProp4.xml><?xml version="1.0" encoding="utf-8"?>
<formControlPr xmlns="http://schemas.microsoft.com/office/spreadsheetml/2009/9/main" objectType="Drop" dropLines="2" dropStyle="combo" dx="22" fmlaLink="'Sector values'!$I$1" fmlaRange="'Sector values'!$J$1:$J$2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447674</xdr:colOff>
      <xdr:row>3</xdr:row>
      <xdr:rowOff>52387</xdr:rowOff>
    </xdr:from>
    <xdr:to>
      <xdr:col>26</xdr:col>
      <xdr:colOff>514349</xdr:colOff>
      <xdr:row>15</xdr:row>
      <xdr:rowOff>104775</xdr:rowOff>
    </xdr:to>
    <xdr:graphicFrame macro="">
      <xdr:nvGraphicFramePr>
        <xdr:cNvPr id="2" name="Chart 1" descr="Chart showing out-turn inflation vs the counterfactual long-run assumption of inflation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90487</xdr:colOff>
      <xdr:row>30</xdr:row>
      <xdr:rowOff>80962</xdr:rowOff>
    </xdr:from>
    <xdr:to>
      <xdr:col>27</xdr:col>
      <xdr:colOff>395287</xdr:colOff>
      <xdr:row>44</xdr:row>
      <xdr:rowOff>157162</xdr:rowOff>
    </xdr:to>
    <xdr:graphicFrame macro="">
      <xdr:nvGraphicFramePr>
        <xdr:cNvPr id="3" name="Chart 2" descr="Chart showing out-turn inflation vs the counterfactual long-run assumption of inflation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0</xdr:row>
          <xdr:rowOff>38100</xdr:rowOff>
        </xdr:from>
        <xdr:to>
          <xdr:col>7</xdr:col>
          <xdr:colOff>276225</xdr:colOff>
          <xdr:row>1</xdr:row>
          <xdr:rowOff>123825</xdr:rowOff>
        </xdr:to>
        <xdr:sp macro="" textlink="">
          <xdr:nvSpPr>
            <xdr:cNvPr id="2056" name="Drop Down 8" descr="Drop-down box allowing user to switch between OBR and HMT inflation forecasts.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3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</xdr:row>
          <xdr:rowOff>9525</xdr:rowOff>
        </xdr:from>
        <xdr:to>
          <xdr:col>21</xdr:col>
          <xdr:colOff>57150</xdr:colOff>
          <xdr:row>2</xdr:row>
          <xdr:rowOff>95250</xdr:rowOff>
        </xdr:to>
        <xdr:sp macro="" textlink="">
          <xdr:nvSpPr>
            <xdr:cNvPr id="5123" name="Drop Down 3" descr="Drop-down box allowing user to switch between OBR and HMT inflation forecasts.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0</xdr:row>
          <xdr:rowOff>171450</xdr:rowOff>
        </xdr:from>
        <xdr:to>
          <xdr:col>21</xdr:col>
          <xdr:colOff>19050</xdr:colOff>
          <xdr:row>2</xdr:row>
          <xdr:rowOff>66675</xdr:rowOff>
        </xdr:to>
        <xdr:sp macro="" textlink="">
          <xdr:nvSpPr>
            <xdr:cNvPr id="6145" name="Drop Down 1" descr="Drop-down box allowing user to switch between OBR and HMT inflation forecasts.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3</xdr:row>
          <xdr:rowOff>9525</xdr:rowOff>
        </xdr:from>
        <xdr:to>
          <xdr:col>8</xdr:col>
          <xdr:colOff>571500</xdr:colOff>
          <xdr:row>4</xdr:row>
          <xdr:rowOff>95250</xdr:rowOff>
        </xdr:to>
        <xdr:sp macro="" textlink="">
          <xdr:nvSpPr>
            <xdr:cNvPr id="7169" name="Drop Down 1" descr="Drop-down box allowing user to switch between OBR and HMT inflation forecasts.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ofgem.gov.uk/publications/gt2-price-control-financial-model" TargetMode="External"/><Relationship Id="rId7" Type="http://schemas.openxmlformats.org/officeDocument/2006/relationships/hyperlink" Target="https://www.ons.gov.uk/economy/inflationandpriceindices/datasets/consumerpriceinflation" TargetMode="External"/><Relationship Id="rId2" Type="http://schemas.openxmlformats.org/officeDocument/2006/relationships/hyperlink" Target="https://www.ofgem.gov.uk/publications/gd2-price-control-financial-model" TargetMode="External"/><Relationship Id="rId1" Type="http://schemas.openxmlformats.org/officeDocument/2006/relationships/hyperlink" Target="https://www.ofgem.gov.uk/publications/et2-price-control-financial-model" TargetMode="External"/><Relationship Id="rId6" Type="http://schemas.openxmlformats.org/officeDocument/2006/relationships/hyperlink" Target="https://obr.uk/efo/economic-and-fiscal-outlook-march-2023/" TargetMode="External"/><Relationship Id="rId5" Type="http://schemas.openxmlformats.org/officeDocument/2006/relationships/hyperlink" Target="https://www.ofgem.gov.uk/sites/default/files/2023-02/RIIO-ED2%20Licence%20Instruments%20and%20Associated%20Documents.zip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www.ofgem.gov.uk/publications/decision-proposed-modifications-riio-2-electricity-distribution-licences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8464F-B93B-4A26-982C-96C3871A9E6D}">
  <sheetPr>
    <pageSetUpPr autoPageBreaks="0"/>
  </sheetPr>
  <dimension ref="A2:S217"/>
  <sheetViews>
    <sheetView tabSelected="1" zoomScaleNormal="100" workbookViewId="0"/>
  </sheetViews>
  <sheetFormatPr defaultRowHeight="15" x14ac:dyDescent="0.25"/>
  <cols>
    <col min="1" max="1" width="32.85546875" customWidth="1"/>
    <col min="3" max="3" width="12.28515625" customWidth="1"/>
  </cols>
  <sheetData>
    <row r="2" spans="1:19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5">
      <c r="A3" s="3" t="s">
        <v>1</v>
      </c>
      <c r="D3" t="s">
        <v>2</v>
      </c>
      <c r="J3" s="1"/>
      <c r="K3" s="1"/>
      <c r="L3" s="1"/>
    </row>
    <row r="4" spans="1:19" x14ac:dyDescent="0.25">
      <c r="A4" s="3" t="s">
        <v>3</v>
      </c>
      <c r="D4" t="s">
        <v>4</v>
      </c>
      <c r="J4" s="1"/>
      <c r="K4" s="1"/>
      <c r="L4" s="1"/>
    </row>
    <row r="5" spans="1:19" x14ac:dyDescent="0.25">
      <c r="A5" s="3" t="s">
        <v>5</v>
      </c>
      <c r="D5" t="s">
        <v>2</v>
      </c>
      <c r="J5" s="1"/>
      <c r="K5" s="1"/>
      <c r="L5" s="1"/>
    </row>
    <row r="6" spans="1:19" x14ac:dyDescent="0.25">
      <c r="A6" s="3"/>
    </row>
    <row r="7" spans="1:19" x14ac:dyDescent="0.25">
      <c r="A7" s="2" t="s">
        <v>6</v>
      </c>
      <c r="D7" s="2" t="s">
        <v>7</v>
      </c>
    </row>
    <row r="8" spans="1:19" x14ac:dyDescent="0.25">
      <c r="A8" s="2" t="s">
        <v>8</v>
      </c>
      <c r="B8" s="2" t="s">
        <v>9</v>
      </c>
      <c r="C8" s="2" t="s">
        <v>10</v>
      </c>
      <c r="D8" s="2">
        <v>2013</v>
      </c>
      <c r="E8" s="2">
        <v>2014</v>
      </c>
      <c r="F8" s="2">
        <v>2015</v>
      </c>
      <c r="G8" s="2">
        <v>2016</v>
      </c>
      <c r="H8" s="2">
        <v>2017</v>
      </c>
      <c r="I8" s="2">
        <v>2018</v>
      </c>
      <c r="J8" s="2">
        <v>2019</v>
      </c>
      <c r="K8" s="2">
        <v>2020</v>
      </c>
      <c r="L8" s="2">
        <v>2021</v>
      </c>
      <c r="M8" s="2">
        <v>2022</v>
      </c>
      <c r="N8" s="2">
        <v>2023</v>
      </c>
      <c r="O8" s="2">
        <v>2024</v>
      </c>
      <c r="P8" s="2">
        <v>2025</v>
      </c>
      <c r="Q8" s="2">
        <v>2026</v>
      </c>
      <c r="R8" s="2">
        <v>2027</v>
      </c>
      <c r="S8" s="2">
        <v>2028</v>
      </c>
    </row>
    <row r="9" spans="1:19" x14ac:dyDescent="0.25">
      <c r="A9" t="s">
        <v>11</v>
      </c>
      <c r="B9" t="s">
        <v>12</v>
      </c>
      <c r="C9" t="s">
        <v>12</v>
      </c>
      <c r="E9" s="1">
        <v>11405.79938</v>
      </c>
      <c r="F9" s="1">
        <v>11858.48662</v>
      </c>
      <c r="G9" s="1">
        <v>12219.36025</v>
      </c>
      <c r="H9" s="1">
        <v>12627.21963</v>
      </c>
      <c r="I9" s="1">
        <v>12863.798349999999</v>
      </c>
      <c r="J9" s="1">
        <v>13079.09153</v>
      </c>
      <c r="K9" s="1">
        <v>13325.938239999999</v>
      </c>
      <c r="L9" s="1">
        <v>13582.8122</v>
      </c>
      <c r="M9" s="1">
        <v>13845.656859999999</v>
      </c>
      <c r="N9" s="1">
        <v>14192.8375</v>
      </c>
      <c r="O9" s="1">
        <v>14602.20516</v>
      </c>
      <c r="P9" s="1">
        <v>14971.805249999999</v>
      </c>
      <c r="Q9" s="1">
        <v>15342.262350000001</v>
      </c>
      <c r="R9" s="1"/>
      <c r="S9" s="1"/>
    </row>
    <row r="10" spans="1:19" x14ac:dyDescent="0.25">
      <c r="A10" t="s">
        <v>11</v>
      </c>
      <c r="B10" t="s">
        <v>13</v>
      </c>
      <c r="C10" t="s">
        <v>14</v>
      </c>
      <c r="E10" s="1">
        <v>1471.7985060000001</v>
      </c>
      <c r="F10" s="1">
        <v>1645.5957550000001</v>
      </c>
      <c r="G10" s="1">
        <v>1850.128502</v>
      </c>
      <c r="H10" s="1">
        <v>2107.9366</v>
      </c>
      <c r="I10" s="1">
        <v>2230.462481</v>
      </c>
      <c r="J10" s="1">
        <v>2301.5650099999998</v>
      </c>
      <c r="K10" s="1">
        <v>2351.7281840000001</v>
      </c>
      <c r="L10" s="1">
        <v>2375.2485040000001</v>
      </c>
      <c r="M10" s="1">
        <v>2406.2261950000002</v>
      </c>
      <c r="N10" s="1">
        <v>2636.9672879999998</v>
      </c>
      <c r="O10" s="1">
        <v>2798.2820879999999</v>
      </c>
      <c r="P10" s="1">
        <v>3010.9940499999998</v>
      </c>
      <c r="Q10" s="1">
        <v>3308.9924369999999</v>
      </c>
      <c r="R10" s="1"/>
      <c r="S10" s="1"/>
    </row>
    <row r="11" spans="1:19" x14ac:dyDescent="0.25">
      <c r="A11" t="s">
        <v>11</v>
      </c>
      <c r="B11" t="s">
        <v>15</v>
      </c>
      <c r="C11" t="s">
        <v>16</v>
      </c>
      <c r="E11" s="1">
        <v>897.71028690000003</v>
      </c>
      <c r="F11" s="1">
        <v>1063.474463</v>
      </c>
      <c r="G11" s="1">
        <v>1489.0783939999999</v>
      </c>
      <c r="H11" s="1">
        <v>1969.616395</v>
      </c>
      <c r="I11" s="1">
        <v>2316.488934</v>
      </c>
      <c r="J11" s="1">
        <v>2510.6573939999998</v>
      </c>
      <c r="K11" s="1">
        <v>2637.985682</v>
      </c>
      <c r="L11" s="1">
        <v>2811.3218179999999</v>
      </c>
      <c r="M11" s="1">
        <v>3105.9896020000001</v>
      </c>
      <c r="N11" s="1">
        <v>3914.5219790000001</v>
      </c>
      <c r="O11" s="1">
        <v>4320.8320970000004</v>
      </c>
      <c r="P11" s="1">
        <v>4923.5218219999997</v>
      </c>
      <c r="Q11" s="1">
        <v>5573.3871429999999</v>
      </c>
      <c r="R11" s="1"/>
      <c r="S11" s="1"/>
    </row>
    <row r="12" spans="1:19" x14ac:dyDescent="0.25">
      <c r="A12" t="s">
        <v>17</v>
      </c>
      <c r="B12" t="s">
        <v>18</v>
      </c>
      <c r="C12" t="s">
        <v>19</v>
      </c>
      <c r="E12" s="1">
        <v>3247.7581970000001</v>
      </c>
      <c r="F12" s="1">
        <v>3220.2935480000001</v>
      </c>
      <c r="G12" s="1">
        <v>3200.1917779999999</v>
      </c>
      <c r="H12" s="1">
        <v>3194.847847</v>
      </c>
      <c r="I12" s="1">
        <v>3195.273921</v>
      </c>
      <c r="J12" s="1">
        <v>3192.0287659999999</v>
      </c>
      <c r="K12" s="1">
        <v>3191.589567</v>
      </c>
      <c r="L12" s="1">
        <v>3208.1133589999999</v>
      </c>
      <c r="M12" s="1">
        <v>3230.8446720000002</v>
      </c>
      <c r="N12" s="1">
        <v>3262.8460180000002</v>
      </c>
      <c r="O12" s="1">
        <v>3287.362032</v>
      </c>
      <c r="P12" s="1">
        <v>3306.3630509999998</v>
      </c>
      <c r="Q12" s="1">
        <v>3317.20489</v>
      </c>
      <c r="R12" s="1"/>
      <c r="S12" s="1"/>
    </row>
    <row r="13" spans="1:19" x14ac:dyDescent="0.25">
      <c r="A13" t="s">
        <v>17</v>
      </c>
      <c r="B13" t="s">
        <v>18</v>
      </c>
      <c r="C13" t="s">
        <v>20</v>
      </c>
      <c r="E13" s="1">
        <v>2115.2964700000002</v>
      </c>
      <c r="F13" s="1">
        <v>2121.9308219999998</v>
      </c>
      <c r="G13" s="1">
        <v>2142.6216089999998</v>
      </c>
      <c r="H13" s="1">
        <v>2175.8507890000001</v>
      </c>
      <c r="I13" s="1">
        <v>2214.1914139999999</v>
      </c>
      <c r="J13" s="1">
        <v>2226.2244740000001</v>
      </c>
      <c r="K13" s="1">
        <v>2227.6180250000002</v>
      </c>
      <c r="L13" s="1">
        <v>2273.348798</v>
      </c>
      <c r="M13" s="1">
        <v>2311.4211780000001</v>
      </c>
      <c r="N13" s="1">
        <v>2344.372766</v>
      </c>
      <c r="O13" s="1">
        <v>2394.4719580000001</v>
      </c>
      <c r="P13" s="1">
        <v>2441.772884</v>
      </c>
      <c r="Q13" s="1">
        <v>2478.4699970000001</v>
      </c>
      <c r="R13" s="1"/>
      <c r="S13" s="1"/>
    </row>
    <row r="14" spans="1:19" x14ac:dyDescent="0.25">
      <c r="A14" t="s">
        <v>17</v>
      </c>
      <c r="B14" t="s">
        <v>18</v>
      </c>
      <c r="C14" t="s">
        <v>21</v>
      </c>
      <c r="E14" s="1">
        <v>2233.6484359999999</v>
      </c>
      <c r="F14" s="1">
        <v>2221.6828220000002</v>
      </c>
      <c r="G14" s="1">
        <v>2219.0921530000001</v>
      </c>
      <c r="H14" s="1">
        <v>2225.024649</v>
      </c>
      <c r="I14" s="1">
        <v>2232.1855959999998</v>
      </c>
      <c r="J14" s="1">
        <v>2238.1665910000002</v>
      </c>
      <c r="K14" s="1">
        <v>2242.202765</v>
      </c>
      <c r="L14" s="1">
        <v>2256.2649529999999</v>
      </c>
      <c r="M14" s="1">
        <v>2291.5147870000001</v>
      </c>
      <c r="N14" s="1">
        <v>2327.9099339999998</v>
      </c>
      <c r="O14" s="1">
        <v>2345.7837089999998</v>
      </c>
      <c r="P14" s="1">
        <v>2357.4156739999999</v>
      </c>
      <c r="Q14" s="1">
        <v>2357.8265689999998</v>
      </c>
      <c r="R14" s="1"/>
      <c r="S14" s="1"/>
    </row>
    <row r="15" spans="1:19" x14ac:dyDescent="0.25">
      <c r="A15" t="s">
        <v>17</v>
      </c>
      <c r="B15" t="s">
        <v>18</v>
      </c>
      <c r="C15" t="s">
        <v>22</v>
      </c>
      <c r="E15" s="1">
        <v>1689.192765</v>
      </c>
      <c r="F15" s="1">
        <v>1672.903851</v>
      </c>
      <c r="G15" s="1">
        <v>1669.6381590000001</v>
      </c>
      <c r="H15" s="1">
        <v>1676.8840210000001</v>
      </c>
      <c r="I15" s="1">
        <v>1685.1372080000001</v>
      </c>
      <c r="J15" s="1">
        <v>1691.4738359999999</v>
      </c>
      <c r="K15" s="1">
        <v>1697.547208</v>
      </c>
      <c r="L15" s="1">
        <v>1711.5555859999999</v>
      </c>
      <c r="M15" s="1">
        <v>1730.681499</v>
      </c>
      <c r="N15" s="1">
        <v>1748.742634</v>
      </c>
      <c r="O15" s="1">
        <v>1758.6059740000001</v>
      </c>
      <c r="P15" s="1">
        <v>1768.309546</v>
      </c>
      <c r="Q15" s="1">
        <v>1774.7213529999999</v>
      </c>
      <c r="R15" s="1"/>
      <c r="S15" s="1"/>
    </row>
    <row r="16" spans="1:19" x14ac:dyDescent="0.25">
      <c r="A16" t="s">
        <v>17</v>
      </c>
      <c r="B16" t="s">
        <v>23</v>
      </c>
      <c r="C16" t="s">
        <v>24</v>
      </c>
      <c r="E16" s="1">
        <v>2021.6815360000001</v>
      </c>
      <c r="F16" s="1">
        <v>2021.6207460000001</v>
      </c>
      <c r="G16" s="1">
        <v>2042.6979839999999</v>
      </c>
      <c r="H16" s="1">
        <v>2073.6563970000002</v>
      </c>
      <c r="I16" s="1">
        <v>2105.052835</v>
      </c>
      <c r="J16" s="1">
        <v>2134.0040140000001</v>
      </c>
      <c r="K16" s="1">
        <v>2160.2649419999998</v>
      </c>
      <c r="L16" s="1">
        <v>2185.441613</v>
      </c>
      <c r="M16" s="1">
        <v>2214.39104</v>
      </c>
      <c r="N16" s="1">
        <v>2251.2406040000001</v>
      </c>
      <c r="O16" s="1">
        <v>2278.4807420000002</v>
      </c>
      <c r="P16" s="1">
        <v>2302.8437570000001</v>
      </c>
      <c r="Q16" s="1">
        <v>2323.4078949999998</v>
      </c>
      <c r="R16" s="1"/>
      <c r="S16" s="1"/>
    </row>
    <row r="17" spans="1:19" x14ac:dyDescent="0.25">
      <c r="A17" t="s">
        <v>17</v>
      </c>
      <c r="B17" t="s">
        <v>25</v>
      </c>
      <c r="C17" t="s">
        <v>26</v>
      </c>
      <c r="E17" s="1">
        <v>1645.769677</v>
      </c>
      <c r="F17" s="1">
        <v>1649.729071</v>
      </c>
      <c r="G17" s="1">
        <v>1656.6213990000001</v>
      </c>
      <c r="H17" s="1">
        <v>1674.1929500000001</v>
      </c>
      <c r="I17" s="1">
        <v>1694.267427</v>
      </c>
      <c r="J17" s="1">
        <v>1713.4071260000001</v>
      </c>
      <c r="K17" s="1">
        <v>1727.3072420000001</v>
      </c>
      <c r="L17" s="1">
        <v>1728.556775</v>
      </c>
      <c r="M17" s="1">
        <v>1730.145581</v>
      </c>
      <c r="N17" s="1">
        <v>1750.0174750000001</v>
      </c>
      <c r="O17" s="1">
        <v>1780.6018859999999</v>
      </c>
      <c r="P17" s="1">
        <v>1815.645448</v>
      </c>
      <c r="Q17" s="1">
        <v>1837.9675609999999</v>
      </c>
      <c r="R17" s="1"/>
      <c r="S17" s="1"/>
    </row>
    <row r="18" spans="1:19" x14ac:dyDescent="0.25">
      <c r="A18" t="s">
        <v>17</v>
      </c>
      <c r="B18" t="s">
        <v>25</v>
      </c>
      <c r="C18" t="s">
        <v>27</v>
      </c>
      <c r="E18" s="1">
        <v>3675.9997039999998</v>
      </c>
      <c r="F18" s="1">
        <v>3667.6933880000001</v>
      </c>
      <c r="G18" s="1">
        <v>3676.107219</v>
      </c>
      <c r="H18" s="1">
        <v>3708.3892019999998</v>
      </c>
      <c r="I18" s="1">
        <v>3753.9578179999999</v>
      </c>
      <c r="J18" s="1">
        <v>3804.410656</v>
      </c>
      <c r="K18" s="1">
        <v>3840.9027000000001</v>
      </c>
      <c r="L18" s="1">
        <v>3841.138966</v>
      </c>
      <c r="M18" s="1">
        <v>3838.3874559999999</v>
      </c>
      <c r="N18" s="1">
        <v>3867.7006889999998</v>
      </c>
      <c r="O18" s="1">
        <v>3899.1670819999999</v>
      </c>
      <c r="P18" s="1">
        <v>3946.0796409999998</v>
      </c>
      <c r="Q18" s="1">
        <v>3992.0398879999998</v>
      </c>
      <c r="R18" s="1"/>
      <c r="S18" s="1"/>
    </row>
    <row r="19" spans="1:19" x14ac:dyDescent="0.25">
      <c r="A19" t="s">
        <v>17</v>
      </c>
      <c r="B19" t="s">
        <v>28</v>
      </c>
      <c r="C19" t="s">
        <v>29</v>
      </c>
      <c r="E19" s="1">
        <v>2075.4141979999999</v>
      </c>
      <c r="F19" s="1">
        <v>2084.4970720000001</v>
      </c>
      <c r="G19" s="1">
        <v>2093.898659</v>
      </c>
      <c r="H19" s="1">
        <v>2106.2275300000001</v>
      </c>
      <c r="I19" s="1">
        <v>2119.1470570000001</v>
      </c>
      <c r="J19" s="1">
        <v>2134.3039090000002</v>
      </c>
      <c r="K19" s="1">
        <v>2153.740131</v>
      </c>
      <c r="L19" s="1">
        <v>2178.866309</v>
      </c>
      <c r="M19" s="1">
        <v>2196.066069</v>
      </c>
      <c r="N19" s="1">
        <v>2213.6485539999999</v>
      </c>
      <c r="O19" s="1">
        <v>2232.8561279999999</v>
      </c>
      <c r="P19" s="1">
        <v>2249.542762</v>
      </c>
      <c r="Q19" s="1">
        <v>2260.2274080000002</v>
      </c>
      <c r="R19" s="1"/>
      <c r="S19" s="1"/>
    </row>
    <row r="20" spans="1:19" x14ac:dyDescent="0.25">
      <c r="A20" t="s">
        <v>30</v>
      </c>
      <c r="B20" t="s">
        <v>31</v>
      </c>
      <c r="C20" t="s">
        <v>32</v>
      </c>
      <c r="E20" s="1">
        <v>77.60230138</v>
      </c>
      <c r="F20" s="1">
        <v>96.48231663</v>
      </c>
      <c r="G20" s="1">
        <v>114.4586426</v>
      </c>
      <c r="H20" s="1">
        <v>129.08878469999999</v>
      </c>
      <c r="I20" s="1">
        <v>137.51531080000001</v>
      </c>
      <c r="J20" s="1">
        <v>142.49230309999999</v>
      </c>
      <c r="K20" s="1">
        <v>146.20197540000001</v>
      </c>
      <c r="L20" s="1">
        <v>147.39069420000001</v>
      </c>
      <c r="M20" s="1">
        <v>141.99864460000001</v>
      </c>
      <c r="N20" s="1">
        <v>133.2064034</v>
      </c>
      <c r="O20" s="1">
        <v>128.25531000000001</v>
      </c>
      <c r="P20" s="1">
        <v>127.5480539</v>
      </c>
      <c r="Q20" s="1">
        <v>126.1172079</v>
      </c>
      <c r="R20" s="1"/>
      <c r="S20" s="1"/>
    </row>
    <row r="21" spans="1:19" x14ac:dyDescent="0.25">
      <c r="A21" t="s">
        <v>30</v>
      </c>
      <c r="B21" t="s">
        <v>31</v>
      </c>
      <c r="C21" t="s">
        <v>33</v>
      </c>
      <c r="E21" s="1">
        <v>5481.7241389999999</v>
      </c>
      <c r="F21" s="1">
        <v>5493.2866009999998</v>
      </c>
      <c r="G21" s="1">
        <v>5476.2700189999996</v>
      </c>
      <c r="H21" s="1">
        <v>5479.4072829999996</v>
      </c>
      <c r="I21" s="1">
        <v>5826.4181660000004</v>
      </c>
      <c r="J21" s="1">
        <v>5865.3620449999999</v>
      </c>
      <c r="K21" s="1">
        <v>5880.8974230000003</v>
      </c>
      <c r="L21" s="1">
        <v>5844.2110510000002</v>
      </c>
      <c r="M21" s="1">
        <v>5769.3680480000003</v>
      </c>
      <c r="N21" s="1">
        <v>5712.2313379999996</v>
      </c>
      <c r="O21" s="1">
        <v>5693.915309</v>
      </c>
      <c r="P21" s="1">
        <v>5639.9370680000002</v>
      </c>
      <c r="Q21" s="1">
        <v>5515.5853790000001</v>
      </c>
      <c r="R21" s="1"/>
      <c r="S21" s="1"/>
    </row>
    <row r="22" spans="1:19" x14ac:dyDescent="0.25"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5">
      <c r="A23" s="2" t="s">
        <v>34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5">
      <c r="A24" t="s">
        <v>11</v>
      </c>
      <c r="B24" t="s">
        <v>12</v>
      </c>
      <c r="C24" t="s">
        <v>12</v>
      </c>
      <c r="E24" s="1">
        <v>130.9910271</v>
      </c>
      <c r="F24" s="1">
        <v>124.2789128</v>
      </c>
      <c r="G24" s="1">
        <v>116.22879810000001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/>
      <c r="S24" s="1"/>
    </row>
    <row r="25" spans="1:19" x14ac:dyDescent="0.25">
      <c r="A25" t="s">
        <v>11</v>
      </c>
      <c r="B25" t="s">
        <v>13</v>
      </c>
      <c r="C25" t="s">
        <v>14</v>
      </c>
      <c r="E25" s="1">
        <v>189.01564730000001</v>
      </c>
      <c r="F25" s="1">
        <v>234.5170248</v>
      </c>
      <c r="G25" s="1">
        <v>270.42801100000003</v>
      </c>
      <c r="H25" s="1">
        <v>198.99511620000001</v>
      </c>
      <c r="I25" s="1">
        <v>187.27313820000001</v>
      </c>
      <c r="J25" s="1">
        <v>177.3909807</v>
      </c>
      <c r="K25" s="1">
        <v>167.5088231</v>
      </c>
      <c r="L25" s="1">
        <v>157.6266655</v>
      </c>
      <c r="M25" s="1">
        <v>147.7445079</v>
      </c>
      <c r="N25" s="1">
        <v>0</v>
      </c>
      <c r="O25" s="1">
        <v>0</v>
      </c>
      <c r="P25" s="1">
        <v>0</v>
      </c>
      <c r="Q25" s="1">
        <v>0</v>
      </c>
      <c r="R25" s="1"/>
      <c r="S25" s="1"/>
    </row>
    <row r="26" spans="1:19" x14ac:dyDescent="0.25">
      <c r="A26" t="s">
        <v>11</v>
      </c>
      <c r="B26" t="s">
        <v>15</v>
      </c>
      <c r="C26" t="s">
        <v>16</v>
      </c>
      <c r="E26" s="1">
        <v>393.38116009999999</v>
      </c>
      <c r="F26" s="1">
        <v>547.45653719999996</v>
      </c>
      <c r="G26" s="1">
        <v>614.55420489999995</v>
      </c>
      <c r="H26" s="1">
        <v>618.13884529999996</v>
      </c>
      <c r="I26" s="1">
        <v>596.37213870000005</v>
      </c>
      <c r="J26" s="1">
        <v>560.21336440000005</v>
      </c>
      <c r="K26" s="1">
        <v>524.05458999999996</v>
      </c>
      <c r="L26" s="1">
        <v>487.89581570000001</v>
      </c>
      <c r="M26" s="1">
        <v>451.73704140000001</v>
      </c>
      <c r="N26" s="1">
        <v>0</v>
      </c>
      <c r="O26" s="1">
        <v>0</v>
      </c>
      <c r="P26" s="1">
        <v>0</v>
      </c>
      <c r="Q26" s="1">
        <v>0</v>
      </c>
      <c r="R26" s="1"/>
      <c r="S26" s="1"/>
    </row>
    <row r="27" spans="1:19" x14ac:dyDescent="0.25">
      <c r="A27" s="2" t="s">
        <v>35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25">
      <c r="A28" t="s">
        <v>11</v>
      </c>
      <c r="B28" t="s">
        <v>12</v>
      </c>
      <c r="C28" t="s">
        <v>12</v>
      </c>
      <c r="E28" s="1">
        <v>124.2789128</v>
      </c>
      <c r="F28" s="1">
        <v>116.22879810000001</v>
      </c>
      <c r="G28" s="1">
        <v>108.17868350000001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/>
      <c r="S28" s="1"/>
    </row>
    <row r="29" spans="1:19" x14ac:dyDescent="0.25">
      <c r="A29" t="s">
        <v>11</v>
      </c>
      <c r="B29" t="s">
        <v>13</v>
      </c>
      <c r="C29" t="s">
        <v>14</v>
      </c>
      <c r="E29" s="1">
        <v>234.5170248</v>
      </c>
      <c r="F29" s="1">
        <v>270.42801100000003</v>
      </c>
      <c r="G29" s="1">
        <v>288.96601920000001</v>
      </c>
      <c r="H29" s="1">
        <v>197.87067020000001</v>
      </c>
      <c r="I29" s="1">
        <v>177.3909807</v>
      </c>
      <c r="J29" s="1">
        <v>167.5088231</v>
      </c>
      <c r="K29" s="1">
        <v>157.6266655</v>
      </c>
      <c r="L29" s="1">
        <v>147.7445079</v>
      </c>
      <c r="M29" s="1">
        <v>137.8623504</v>
      </c>
      <c r="N29" s="1">
        <v>0</v>
      </c>
      <c r="O29" s="1">
        <v>0</v>
      </c>
      <c r="P29" s="1">
        <v>0</v>
      </c>
      <c r="Q29" s="1">
        <v>0</v>
      </c>
      <c r="R29" s="1"/>
      <c r="S29" s="1"/>
    </row>
    <row r="30" spans="1:19" x14ac:dyDescent="0.25">
      <c r="A30" t="s">
        <v>11</v>
      </c>
      <c r="B30" t="s">
        <v>15</v>
      </c>
      <c r="C30" t="s">
        <v>16</v>
      </c>
      <c r="E30" s="1">
        <v>547.45653719999996</v>
      </c>
      <c r="F30" s="1">
        <v>630.98544770000001</v>
      </c>
      <c r="G30" s="1">
        <v>618.13884529999996</v>
      </c>
      <c r="H30" s="1">
        <v>596.37213870000005</v>
      </c>
      <c r="I30" s="1">
        <v>560.21336440000005</v>
      </c>
      <c r="J30" s="1">
        <v>524.05458999999996</v>
      </c>
      <c r="K30" s="1">
        <v>487.89581570000001</v>
      </c>
      <c r="L30" s="1">
        <v>451.73704140000001</v>
      </c>
      <c r="M30" s="1">
        <v>456.28222970000002</v>
      </c>
      <c r="N30" s="1">
        <v>0</v>
      </c>
      <c r="O30" s="1">
        <v>0</v>
      </c>
      <c r="P30" s="1">
        <v>0</v>
      </c>
      <c r="Q30" s="1">
        <v>0</v>
      </c>
      <c r="R30" s="1"/>
      <c r="S30" s="1"/>
    </row>
    <row r="31" spans="1:19" x14ac:dyDescent="0.25">
      <c r="A31" s="2" t="s">
        <v>36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5">
      <c r="A32" t="s">
        <v>11</v>
      </c>
      <c r="B32" t="s">
        <v>12</v>
      </c>
      <c r="C32" t="s">
        <v>12</v>
      </c>
      <c r="E32" s="1">
        <f t="shared" ref="E32:Q32" si="0">(E24+E28*1/(1+E182))/2</f>
        <v>124.92953336788966</v>
      </c>
      <c r="F32" s="1">
        <f t="shared" si="0"/>
        <v>117.78753270802819</v>
      </c>
      <c r="G32" s="1">
        <f t="shared" si="0"/>
        <v>109.95887499172339</v>
      </c>
      <c r="H32" s="1">
        <f t="shared" si="0"/>
        <v>0</v>
      </c>
      <c r="I32" s="1">
        <f t="shared" si="0"/>
        <v>0</v>
      </c>
      <c r="J32" s="1">
        <f t="shared" si="0"/>
        <v>0</v>
      </c>
      <c r="K32" s="1">
        <f t="shared" si="0"/>
        <v>0</v>
      </c>
      <c r="L32" s="1">
        <f t="shared" si="0"/>
        <v>0</v>
      </c>
      <c r="M32" s="1">
        <f t="shared" si="0"/>
        <v>0</v>
      </c>
      <c r="N32" s="1">
        <f t="shared" si="0"/>
        <v>0</v>
      </c>
      <c r="O32" s="1">
        <f t="shared" si="0"/>
        <v>0</v>
      </c>
      <c r="P32" s="1">
        <f t="shared" si="0"/>
        <v>0</v>
      </c>
      <c r="Q32" s="1">
        <f t="shared" si="0"/>
        <v>0</v>
      </c>
      <c r="R32" s="1"/>
      <c r="S32" s="1"/>
    </row>
    <row r="33" spans="1:19" x14ac:dyDescent="0.25">
      <c r="A33" t="s">
        <v>11</v>
      </c>
      <c r="B33" t="s">
        <v>13</v>
      </c>
      <c r="C33" t="s">
        <v>14</v>
      </c>
      <c r="E33" s="1">
        <f t="shared" ref="E33:Q33" si="1">(E25+E29*1/(1+E183))/2</f>
        <v>206.44271272556608</v>
      </c>
      <c r="F33" s="1">
        <f t="shared" si="1"/>
        <v>246.46938094729279</v>
      </c>
      <c r="G33" s="1">
        <f t="shared" si="1"/>
        <v>273.4058321899405</v>
      </c>
      <c r="H33" s="1">
        <f t="shared" si="1"/>
        <v>194.20967969794754</v>
      </c>
      <c r="I33" s="1">
        <f t="shared" si="1"/>
        <v>178.61754116120477</v>
      </c>
      <c r="J33" s="1">
        <f t="shared" si="1"/>
        <v>169.07361862193727</v>
      </c>
      <c r="K33" s="1">
        <f t="shared" si="1"/>
        <v>159.52262000230201</v>
      </c>
      <c r="L33" s="1">
        <f t="shared" si="1"/>
        <v>150.0155052319277</v>
      </c>
      <c r="M33" s="1">
        <f t="shared" si="1"/>
        <v>140.77151447435079</v>
      </c>
      <c r="N33" s="1">
        <f t="shared" si="1"/>
        <v>0</v>
      </c>
      <c r="O33" s="1">
        <f t="shared" si="1"/>
        <v>0</v>
      </c>
      <c r="P33" s="1">
        <f t="shared" si="1"/>
        <v>0</v>
      </c>
      <c r="Q33" s="1">
        <f t="shared" si="1"/>
        <v>0</v>
      </c>
      <c r="R33" s="1"/>
      <c r="S33" s="1"/>
    </row>
    <row r="34" spans="1:19" x14ac:dyDescent="0.25">
      <c r="A34" t="s">
        <v>11</v>
      </c>
      <c r="B34" t="s">
        <v>15</v>
      </c>
      <c r="C34" t="s">
        <v>16</v>
      </c>
      <c r="E34" s="1">
        <f t="shared" ref="E34:Q34" si="2">(E26+E30*1/(1+E184))/2</f>
        <v>457.9913824861373</v>
      </c>
      <c r="F34" s="1">
        <f t="shared" si="2"/>
        <v>575.56297211590527</v>
      </c>
      <c r="G34" s="1">
        <f t="shared" si="2"/>
        <v>603.5121420110188</v>
      </c>
      <c r="H34" s="1">
        <f t="shared" si="2"/>
        <v>595.41647319520837</v>
      </c>
      <c r="I34" s="1">
        <f t="shared" si="2"/>
        <v>567.56992709255746</v>
      </c>
      <c r="J34" s="1">
        <f t="shared" si="2"/>
        <v>532.57064238807573</v>
      </c>
      <c r="K34" s="1">
        <f t="shared" si="2"/>
        <v>497.27117913693348</v>
      </c>
      <c r="L34" s="1">
        <f t="shared" si="2"/>
        <v>462.03086691150429</v>
      </c>
      <c r="M34" s="1">
        <f t="shared" si="2"/>
        <v>447.55738276218858</v>
      </c>
      <c r="N34" s="1">
        <f t="shared" si="2"/>
        <v>0</v>
      </c>
      <c r="O34" s="1">
        <f t="shared" si="2"/>
        <v>0</v>
      </c>
      <c r="P34" s="1">
        <f t="shared" si="2"/>
        <v>0</v>
      </c>
      <c r="Q34" s="1">
        <f t="shared" si="2"/>
        <v>0</v>
      </c>
      <c r="R34" s="1"/>
      <c r="S34" s="1"/>
    </row>
    <row r="35" spans="1:19" x14ac:dyDescent="0.25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2" t="s">
        <v>37</v>
      </c>
      <c r="D36" s="2" t="s">
        <v>7</v>
      </c>
    </row>
    <row r="37" spans="1:19" x14ac:dyDescent="0.25">
      <c r="A37" s="2" t="s">
        <v>8</v>
      </c>
      <c r="B37" s="2" t="s">
        <v>9</v>
      </c>
      <c r="C37" s="2" t="s">
        <v>10</v>
      </c>
      <c r="D37" s="2">
        <v>2013</v>
      </c>
      <c r="E37" s="2">
        <v>2014</v>
      </c>
      <c r="F37" s="2">
        <v>2015</v>
      </c>
      <c r="G37" s="2">
        <v>2016</v>
      </c>
      <c r="H37" s="2">
        <v>2017</v>
      </c>
      <c r="I37" s="2">
        <v>2018</v>
      </c>
      <c r="J37" s="2">
        <v>2019</v>
      </c>
      <c r="K37" s="2">
        <v>2020</v>
      </c>
      <c r="L37" s="2">
        <v>2021</v>
      </c>
      <c r="M37" s="2">
        <v>2022</v>
      </c>
      <c r="N37" s="2">
        <v>2023</v>
      </c>
      <c r="O37" s="2">
        <v>2024</v>
      </c>
      <c r="P37" s="2">
        <v>2025</v>
      </c>
      <c r="Q37" s="2">
        <v>2026</v>
      </c>
      <c r="R37" s="2">
        <v>2027</v>
      </c>
      <c r="S37" s="2">
        <v>2028</v>
      </c>
    </row>
    <row r="38" spans="1:19" x14ac:dyDescent="0.25">
      <c r="A38" t="s">
        <v>11</v>
      </c>
      <c r="B38" t="s">
        <v>12</v>
      </c>
      <c r="C38" t="s">
        <v>12</v>
      </c>
      <c r="E38" s="1">
        <f>E9+E32</f>
        <v>11530.72891336789</v>
      </c>
      <c r="F38" s="1">
        <f t="shared" ref="F38:Q38" si="3">F9+F32</f>
        <v>11976.274152708027</v>
      </c>
      <c r="G38" s="1">
        <f t="shared" si="3"/>
        <v>12329.319124991724</v>
      </c>
      <c r="H38" s="1">
        <f t="shared" si="3"/>
        <v>12627.21963</v>
      </c>
      <c r="I38" s="1">
        <f t="shared" si="3"/>
        <v>12863.798349999999</v>
      </c>
      <c r="J38" s="1">
        <f t="shared" si="3"/>
        <v>13079.09153</v>
      </c>
      <c r="K38" s="1">
        <f t="shared" si="3"/>
        <v>13325.938239999999</v>
      </c>
      <c r="L38" s="1">
        <f t="shared" si="3"/>
        <v>13582.8122</v>
      </c>
      <c r="M38" s="1">
        <f t="shared" si="3"/>
        <v>13845.656859999999</v>
      </c>
      <c r="N38" s="1">
        <f t="shared" si="3"/>
        <v>14192.8375</v>
      </c>
      <c r="O38" s="1">
        <f t="shared" si="3"/>
        <v>14602.20516</v>
      </c>
      <c r="P38" s="1">
        <f t="shared" si="3"/>
        <v>14971.805249999999</v>
      </c>
      <c r="Q38" s="1">
        <f t="shared" si="3"/>
        <v>15342.262350000001</v>
      </c>
      <c r="R38" s="1"/>
      <c r="S38" s="1"/>
    </row>
    <row r="39" spans="1:19" x14ac:dyDescent="0.25">
      <c r="A39" t="s">
        <v>11</v>
      </c>
      <c r="B39" t="s">
        <v>13</v>
      </c>
      <c r="C39" t="s">
        <v>14</v>
      </c>
      <c r="E39" s="1">
        <f t="shared" ref="E39:Q39" si="4">E10+E33</f>
        <v>1678.2412187255661</v>
      </c>
      <c r="F39" s="1">
        <f t="shared" si="4"/>
        <v>1892.0651359472929</v>
      </c>
      <c r="G39" s="1">
        <f t="shared" si="4"/>
        <v>2123.5343341899406</v>
      </c>
      <c r="H39" s="1">
        <f t="shared" si="4"/>
        <v>2302.1462796979476</v>
      </c>
      <c r="I39" s="1">
        <f t="shared" si="4"/>
        <v>2409.0800221612049</v>
      </c>
      <c r="J39" s="1">
        <f t="shared" si="4"/>
        <v>2470.6386286219372</v>
      </c>
      <c r="K39" s="1">
        <f t="shared" si="4"/>
        <v>2511.2508040023022</v>
      </c>
      <c r="L39" s="1">
        <f t="shared" si="4"/>
        <v>2525.264009231928</v>
      </c>
      <c r="M39" s="1">
        <f t="shared" si="4"/>
        <v>2546.9977094743508</v>
      </c>
      <c r="N39" s="1">
        <f t="shared" si="4"/>
        <v>2636.9672879999998</v>
      </c>
      <c r="O39" s="1">
        <f t="shared" si="4"/>
        <v>2798.2820879999999</v>
      </c>
      <c r="P39" s="1">
        <f t="shared" si="4"/>
        <v>3010.9940499999998</v>
      </c>
      <c r="Q39" s="1">
        <f t="shared" si="4"/>
        <v>3308.9924369999999</v>
      </c>
      <c r="R39" s="1"/>
      <c r="S39" s="1"/>
    </row>
    <row r="40" spans="1:19" x14ac:dyDescent="0.25">
      <c r="A40" t="s">
        <v>11</v>
      </c>
      <c r="B40" t="s">
        <v>15</v>
      </c>
      <c r="C40" t="s">
        <v>16</v>
      </c>
      <c r="E40" s="1">
        <f t="shared" ref="E40:Q40" si="5">E11+E34</f>
        <v>1355.7016693861374</v>
      </c>
      <c r="F40" s="1">
        <f t="shared" si="5"/>
        <v>1639.0374351159053</v>
      </c>
      <c r="G40" s="1">
        <f t="shared" si="5"/>
        <v>2092.5905360110187</v>
      </c>
      <c r="H40" s="1">
        <f t="shared" si="5"/>
        <v>2565.0328681952083</v>
      </c>
      <c r="I40" s="1">
        <f t="shared" si="5"/>
        <v>2884.0588610925574</v>
      </c>
      <c r="J40" s="1">
        <f t="shared" si="5"/>
        <v>3043.2280363880755</v>
      </c>
      <c r="K40" s="1">
        <f t="shared" si="5"/>
        <v>3135.2568611369334</v>
      </c>
      <c r="L40" s="1">
        <f t="shared" si="5"/>
        <v>3273.3526849115042</v>
      </c>
      <c r="M40" s="1">
        <f t="shared" si="5"/>
        <v>3553.5469847621889</v>
      </c>
      <c r="N40" s="1">
        <f t="shared" si="5"/>
        <v>3914.5219790000001</v>
      </c>
      <c r="O40" s="1">
        <f t="shared" si="5"/>
        <v>4320.8320970000004</v>
      </c>
      <c r="P40" s="1">
        <f t="shared" si="5"/>
        <v>4923.5218219999997</v>
      </c>
      <c r="Q40" s="1">
        <f t="shared" si="5"/>
        <v>5573.3871429999999</v>
      </c>
      <c r="R40" s="1"/>
      <c r="S40" s="1"/>
    </row>
    <row r="41" spans="1:19" x14ac:dyDescent="0.25">
      <c r="A41" t="s">
        <v>17</v>
      </c>
      <c r="B41" t="s">
        <v>18</v>
      </c>
      <c r="C41" t="s">
        <v>19</v>
      </c>
      <c r="E41" s="1">
        <f>E12</f>
        <v>3247.7581970000001</v>
      </c>
      <c r="F41" s="1">
        <f t="shared" ref="F41:Q41" si="6">F12</f>
        <v>3220.2935480000001</v>
      </c>
      <c r="G41" s="1">
        <f t="shared" si="6"/>
        <v>3200.1917779999999</v>
      </c>
      <c r="H41" s="1">
        <f t="shared" si="6"/>
        <v>3194.847847</v>
      </c>
      <c r="I41" s="1">
        <f t="shared" si="6"/>
        <v>3195.273921</v>
      </c>
      <c r="J41" s="1">
        <f t="shared" si="6"/>
        <v>3192.0287659999999</v>
      </c>
      <c r="K41" s="1">
        <f t="shared" si="6"/>
        <v>3191.589567</v>
      </c>
      <c r="L41" s="1">
        <f t="shared" si="6"/>
        <v>3208.1133589999999</v>
      </c>
      <c r="M41" s="1">
        <f t="shared" si="6"/>
        <v>3230.8446720000002</v>
      </c>
      <c r="N41" s="1">
        <f t="shared" si="6"/>
        <v>3262.8460180000002</v>
      </c>
      <c r="O41" s="1">
        <f t="shared" si="6"/>
        <v>3287.362032</v>
      </c>
      <c r="P41" s="1">
        <f t="shared" si="6"/>
        <v>3306.3630509999998</v>
      </c>
      <c r="Q41" s="1">
        <f t="shared" si="6"/>
        <v>3317.20489</v>
      </c>
      <c r="R41" s="1"/>
      <c r="S41" s="1"/>
    </row>
    <row r="42" spans="1:19" x14ac:dyDescent="0.25">
      <c r="A42" t="s">
        <v>17</v>
      </c>
      <c r="B42" t="s">
        <v>18</v>
      </c>
      <c r="C42" t="s">
        <v>20</v>
      </c>
      <c r="E42" s="1">
        <f t="shared" ref="E42:Q42" si="7">E13</f>
        <v>2115.2964700000002</v>
      </c>
      <c r="F42" s="1">
        <f t="shared" si="7"/>
        <v>2121.9308219999998</v>
      </c>
      <c r="G42" s="1">
        <f t="shared" si="7"/>
        <v>2142.6216089999998</v>
      </c>
      <c r="H42" s="1">
        <f t="shared" si="7"/>
        <v>2175.8507890000001</v>
      </c>
      <c r="I42" s="1">
        <f t="shared" si="7"/>
        <v>2214.1914139999999</v>
      </c>
      <c r="J42" s="1">
        <f t="shared" si="7"/>
        <v>2226.2244740000001</v>
      </c>
      <c r="K42" s="1">
        <f t="shared" si="7"/>
        <v>2227.6180250000002</v>
      </c>
      <c r="L42" s="1">
        <f t="shared" si="7"/>
        <v>2273.348798</v>
      </c>
      <c r="M42" s="1">
        <f t="shared" si="7"/>
        <v>2311.4211780000001</v>
      </c>
      <c r="N42" s="1">
        <f t="shared" si="7"/>
        <v>2344.372766</v>
      </c>
      <c r="O42" s="1">
        <f t="shared" si="7"/>
        <v>2394.4719580000001</v>
      </c>
      <c r="P42" s="1">
        <f t="shared" si="7"/>
        <v>2441.772884</v>
      </c>
      <c r="Q42" s="1">
        <f t="shared" si="7"/>
        <v>2478.4699970000001</v>
      </c>
      <c r="R42" s="1"/>
      <c r="S42" s="1"/>
    </row>
    <row r="43" spans="1:19" x14ac:dyDescent="0.25">
      <c r="A43" t="s">
        <v>17</v>
      </c>
      <c r="B43" t="s">
        <v>18</v>
      </c>
      <c r="C43" t="s">
        <v>21</v>
      </c>
      <c r="E43" s="1">
        <f t="shared" ref="E43:Q43" si="8">E14</f>
        <v>2233.6484359999999</v>
      </c>
      <c r="F43" s="1">
        <f t="shared" si="8"/>
        <v>2221.6828220000002</v>
      </c>
      <c r="G43" s="1">
        <f t="shared" si="8"/>
        <v>2219.0921530000001</v>
      </c>
      <c r="H43" s="1">
        <f t="shared" si="8"/>
        <v>2225.024649</v>
      </c>
      <c r="I43" s="1">
        <f t="shared" si="8"/>
        <v>2232.1855959999998</v>
      </c>
      <c r="J43" s="1">
        <f t="shared" si="8"/>
        <v>2238.1665910000002</v>
      </c>
      <c r="K43" s="1">
        <f t="shared" si="8"/>
        <v>2242.202765</v>
      </c>
      <c r="L43" s="1">
        <f t="shared" si="8"/>
        <v>2256.2649529999999</v>
      </c>
      <c r="M43" s="1">
        <f t="shared" si="8"/>
        <v>2291.5147870000001</v>
      </c>
      <c r="N43" s="1">
        <f t="shared" si="8"/>
        <v>2327.9099339999998</v>
      </c>
      <c r="O43" s="1">
        <f t="shared" si="8"/>
        <v>2345.7837089999998</v>
      </c>
      <c r="P43" s="1">
        <f t="shared" si="8"/>
        <v>2357.4156739999999</v>
      </c>
      <c r="Q43" s="1">
        <f t="shared" si="8"/>
        <v>2357.8265689999998</v>
      </c>
      <c r="R43" s="1"/>
      <c r="S43" s="1"/>
    </row>
    <row r="44" spans="1:19" x14ac:dyDescent="0.25">
      <c r="A44" t="s">
        <v>17</v>
      </c>
      <c r="B44" t="s">
        <v>18</v>
      </c>
      <c r="C44" t="s">
        <v>22</v>
      </c>
      <c r="E44" s="1">
        <f t="shared" ref="E44:Q44" si="9">E15</f>
        <v>1689.192765</v>
      </c>
      <c r="F44" s="1">
        <f t="shared" si="9"/>
        <v>1672.903851</v>
      </c>
      <c r="G44" s="1">
        <f t="shared" si="9"/>
        <v>1669.6381590000001</v>
      </c>
      <c r="H44" s="1">
        <f t="shared" si="9"/>
        <v>1676.8840210000001</v>
      </c>
      <c r="I44" s="1">
        <f t="shared" si="9"/>
        <v>1685.1372080000001</v>
      </c>
      <c r="J44" s="1">
        <f t="shared" si="9"/>
        <v>1691.4738359999999</v>
      </c>
      <c r="K44" s="1">
        <f t="shared" si="9"/>
        <v>1697.547208</v>
      </c>
      <c r="L44" s="1">
        <f t="shared" si="9"/>
        <v>1711.5555859999999</v>
      </c>
      <c r="M44" s="1">
        <f t="shared" si="9"/>
        <v>1730.681499</v>
      </c>
      <c r="N44" s="1">
        <f t="shared" si="9"/>
        <v>1748.742634</v>
      </c>
      <c r="O44" s="1">
        <f t="shared" si="9"/>
        <v>1758.6059740000001</v>
      </c>
      <c r="P44" s="1">
        <f t="shared" si="9"/>
        <v>1768.309546</v>
      </c>
      <c r="Q44" s="1">
        <f t="shared" si="9"/>
        <v>1774.7213529999999</v>
      </c>
      <c r="R44" s="1"/>
      <c r="S44" s="1"/>
    </row>
    <row r="45" spans="1:19" x14ac:dyDescent="0.25">
      <c r="A45" t="s">
        <v>17</v>
      </c>
      <c r="B45" t="s">
        <v>23</v>
      </c>
      <c r="C45" t="s">
        <v>24</v>
      </c>
      <c r="E45" s="1">
        <f t="shared" ref="E45:Q45" si="10">E16</f>
        <v>2021.6815360000001</v>
      </c>
      <c r="F45" s="1">
        <f t="shared" si="10"/>
        <v>2021.6207460000001</v>
      </c>
      <c r="G45" s="1">
        <f t="shared" si="10"/>
        <v>2042.6979839999999</v>
      </c>
      <c r="H45" s="1">
        <f t="shared" si="10"/>
        <v>2073.6563970000002</v>
      </c>
      <c r="I45" s="1">
        <f t="shared" si="10"/>
        <v>2105.052835</v>
      </c>
      <c r="J45" s="1">
        <f t="shared" si="10"/>
        <v>2134.0040140000001</v>
      </c>
      <c r="K45" s="1">
        <f t="shared" si="10"/>
        <v>2160.2649419999998</v>
      </c>
      <c r="L45" s="1">
        <f t="shared" si="10"/>
        <v>2185.441613</v>
      </c>
      <c r="M45" s="1">
        <f t="shared" si="10"/>
        <v>2214.39104</v>
      </c>
      <c r="N45" s="1">
        <f t="shared" si="10"/>
        <v>2251.2406040000001</v>
      </c>
      <c r="O45" s="1">
        <f t="shared" si="10"/>
        <v>2278.4807420000002</v>
      </c>
      <c r="P45" s="1">
        <f t="shared" si="10"/>
        <v>2302.8437570000001</v>
      </c>
      <c r="Q45" s="1">
        <f t="shared" si="10"/>
        <v>2323.4078949999998</v>
      </c>
      <c r="R45" s="1"/>
      <c r="S45" s="1"/>
    </row>
    <row r="46" spans="1:19" x14ac:dyDescent="0.25">
      <c r="A46" t="s">
        <v>17</v>
      </c>
      <c r="B46" t="s">
        <v>25</v>
      </c>
      <c r="C46" t="s">
        <v>26</v>
      </c>
      <c r="E46" s="1">
        <f t="shared" ref="E46:Q46" si="11">E17</f>
        <v>1645.769677</v>
      </c>
      <c r="F46" s="1">
        <f t="shared" si="11"/>
        <v>1649.729071</v>
      </c>
      <c r="G46" s="1">
        <f t="shared" si="11"/>
        <v>1656.6213990000001</v>
      </c>
      <c r="H46" s="1">
        <f t="shared" si="11"/>
        <v>1674.1929500000001</v>
      </c>
      <c r="I46" s="1">
        <f t="shared" si="11"/>
        <v>1694.267427</v>
      </c>
      <c r="J46" s="1">
        <f t="shared" si="11"/>
        <v>1713.4071260000001</v>
      </c>
      <c r="K46" s="1">
        <f t="shared" si="11"/>
        <v>1727.3072420000001</v>
      </c>
      <c r="L46" s="1">
        <f t="shared" si="11"/>
        <v>1728.556775</v>
      </c>
      <c r="M46" s="1">
        <f t="shared" si="11"/>
        <v>1730.145581</v>
      </c>
      <c r="N46" s="1">
        <f t="shared" si="11"/>
        <v>1750.0174750000001</v>
      </c>
      <c r="O46" s="1">
        <f t="shared" si="11"/>
        <v>1780.6018859999999</v>
      </c>
      <c r="P46" s="1">
        <f t="shared" si="11"/>
        <v>1815.645448</v>
      </c>
      <c r="Q46" s="1">
        <f t="shared" si="11"/>
        <v>1837.9675609999999</v>
      </c>
      <c r="R46" s="1"/>
      <c r="S46" s="1"/>
    </row>
    <row r="47" spans="1:19" x14ac:dyDescent="0.25">
      <c r="A47" t="s">
        <v>17</v>
      </c>
      <c r="B47" t="s">
        <v>25</v>
      </c>
      <c r="C47" t="s">
        <v>27</v>
      </c>
      <c r="E47" s="1">
        <f t="shared" ref="E47:Q47" si="12">E18</f>
        <v>3675.9997039999998</v>
      </c>
      <c r="F47" s="1">
        <f t="shared" si="12"/>
        <v>3667.6933880000001</v>
      </c>
      <c r="G47" s="1">
        <f t="shared" si="12"/>
        <v>3676.107219</v>
      </c>
      <c r="H47" s="1">
        <f t="shared" si="12"/>
        <v>3708.3892019999998</v>
      </c>
      <c r="I47" s="1">
        <f t="shared" si="12"/>
        <v>3753.9578179999999</v>
      </c>
      <c r="J47" s="1">
        <f t="shared" si="12"/>
        <v>3804.410656</v>
      </c>
      <c r="K47" s="1">
        <f t="shared" si="12"/>
        <v>3840.9027000000001</v>
      </c>
      <c r="L47" s="1">
        <f t="shared" si="12"/>
        <v>3841.138966</v>
      </c>
      <c r="M47" s="1">
        <f t="shared" si="12"/>
        <v>3838.3874559999999</v>
      </c>
      <c r="N47" s="1">
        <f t="shared" si="12"/>
        <v>3867.7006889999998</v>
      </c>
      <c r="O47" s="1">
        <f t="shared" si="12"/>
        <v>3899.1670819999999</v>
      </c>
      <c r="P47" s="1">
        <f t="shared" si="12"/>
        <v>3946.0796409999998</v>
      </c>
      <c r="Q47" s="1">
        <f t="shared" si="12"/>
        <v>3992.0398879999998</v>
      </c>
      <c r="R47" s="1"/>
      <c r="S47" s="1"/>
    </row>
    <row r="48" spans="1:19" x14ac:dyDescent="0.25">
      <c r="A48" t="s">
        <v>17</v>
      </c>
      <c r="B48" t="s">
        <v>28</v>
      </c>
      <c r="C48" t="s">
        <v>29</v>
      </c>
      <c r="E48" s="1">
        <f t="shared" ref="E48:Q48" si="13">E19</f>
        <v>2075.4141979999999</v>
      </c>
      <c r="F48" s="1">
        <f t="shared" si="13"/>
        <v>2084.4970720000001</v>
      </c>
      <c r="G48" s="1">
        <f t="shared" si="13"/>
        <v>2093.898659</v>
      </c>
      <c r="H48" s="1">
        <f t="shared" si="13"/>
        <v>2106.2275300000001</v>
      </c>
      <c r="I48" s="1">
        <f t="shared" si="13"/>
        <v>2119.1470570000001</v>
      </c>
      <c r="J48" s="1">
        <f t="shared" si="13"/>
        <v>2134.3039090000002</v>
      </c>
      <c r="K48" s="1">
        <f t="shared" si="13"/>
        <v>2153.740131</v>
      </c>
      <c r="L48" s="1">
        <f t="shared" si="13"/>
        <v>2178.866309</v>
      </c>
      <c r="M48" s="1">
        <f t="shared" si="13"/>
        <v>2196.066069</v>
      </c>
      <c r="N48" s="1">
        <f t="shared" si="13"/>
        <v>2213.6485539999999</v>
      </c>
      <c r="O48" s="1">
        <f t="shared" si="13"/>
        <v>2232.8561279999999</v>
      </c>
      <c r="P48" s="1">
        <f t="shared" si="13"/>
        <v>2249.542762</v>
      </c>
      <c r="Q48" s="1">
        <f t="shared" si="13"/>
        <v>2260.2274080000002</v>
      </c>
      <c r="R48" s="1"/>
      <c r="S48" s="1"/>
    </row>
    <row r="49" spans="1:19" x14ac:dyDescent="0.25">
      <c r="A49" t="s">
        <v>30</v>
      </c>
      <c r="B49" t="s">
        <v>31</v>
      </c>
      <c r="C49" t="s">
        <v>32</v>
      </c>
      <c r="E49" s="1">
        <f t="shared" ref="E49:Q49" si="14">E20</f>
        <v>77.60230138</v>
      </c>
      <c r="F49" s="1">
        <f t="shared" si="14"/>
        <v>96.48231663</v>
      </c>
      <c r="G49" s="1">
        <f t="shared" si="14"/>
        <v>114.4586426</v>
      </c>
      <c r="H49" s="1">
        <f t="shared" si="14"/>
        <v>129.08878469999999</v>
      </c>
      <c r="I49" s="1">
        <f t="shared" si="14"/>
        <v>137.51531080000001</v>
      </c>
      <c r="J49" s="1">
        <f t="shared" si="14"/>
        <v>142.49230309999999</v>
      </c>
      <c r="K49" s="1">
        <f t="shared" si="14"/>
        <v>146.20197540000001</v>
      </c>
      <c r="L49" s="1">
        <f t="shared" si="14"/>
        <v>147.39069420000001</v>
      </c>
      <c r="M49" s="1">
        <f t="shared" si="14"/>
        <v>141.99864460000001</v>
      </c>
      <c r="N49" s="1">
        <f t="shared" si="14"/>
        <v>133.2064034</v>
      </c>
      <c r="O49" s="1">
        <f t="shared" si="14"/>
        <v>128.25531000000001</v>
      </c>
      <c r="P49" s="1">
        <f t="shared" si="14"/>
        <v>127.5480539</v>
      </c>
      <c r="Q49" s="1">
        <f t="shared" si="14"/>
        <v>126.1172079</v>
      </c>
      <c r="R49" s="1"/>
      <c r="S49" s="1"/>
    </row>
    <row r="50" spans="1:19" x14ac:dyDescent="0.25">
      <c r="A50" t="s">
        <v>30</v>
      </c>
      <c r="B50" t="s">
        <v>31</v>
      </c>
      <c r="C50" t="s">
        <v>33</v>
      </c>
      <c r="E50" s="1">
        <f t="shared" ref="E50:Q50" si="15">E21</f>
        <v>5481.7241389999999</v>
      </c>
      <c r="F50" s="1">
        <f t="shared" si="15"/>
        <v>5493.2866009999998</v>
      </c>
      <c r="G50" s="1">
        <f t="shared" si="15"/>
        <v>5476.2700189999996</v>
      </c>
      <c r="H50" s="1">
        <f t="shared" si="15"/>
        <v>5479.4072829999996</v>
      </c>
      <c r="I50" s="1">
        <f t="shared" si="15"/>
        <v>5826.4181660000004</v>
      </c>
      <c r="J50" s="1">
        <f t="shared" si="15"/>
        <v>5865.3620449999999</v>
      </c>
      <c r="K50" s="1">
        <f t="shared" si="15"/>
        <v>5880.8974230000003</v>
      </c>
      <c r="L50" s="1">
        <f t="shared" si="15"/>
        <v>5844.2110510000002</v>
      </c>
      <c r="M50" s="1">
        <f t="shared" si="15"/>
        <v>5769.3680480000003</v>
      </c>
      <c r="N50" s="1">
        <f t="shared" si="15"/>
        <v>5712.2313379999996</v>
      </c>
      <c r="O50" s="1">
        <f t="shared" si="15"/>
        <v>5693.915309</v>
      </c>
      <c r="P50" s="1">
        <f t="shared" si="15"/>
        <v>5639.9370680000002</v>
      </c>
      <c r="Q50" s="1">
        <f t="shared" si="15"/>
        <v>5515.5853790000001</v>
      </c>
      <c r="R50" s="1"/>
      <c r="S50" s="1"/>
    </row>
    <row r="51" spans="1:19" x14ac:dyDescent="0.25"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6" t="s">
        <v>38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x14ac:dyDescent="0.25">
      <c r="A53" s="3" t="s">
        <v>39</v>
      </c>
    </row>
    <row r="54" spans="1:19" x14ac:dyDescent="0.25">
      <c r="A54" s="3" t="s">
        <v>40</v>
      </c>
    </row>
    <row r="55" spans="1:19" x14ac:dyDescent="0.25">
      <c r="A55" t="s">
        <v>41</v>
      </c>
    </row>
    <row r="56" spans="1:19" x14ac:dyDescent="0.25">
      <c r="D56" s="2" t="s">
        <v>7</v>
      </c>
    </row>
    <row r="57" spans="1:19" x14ac:dyDescent="0.25">
      <c r="A57" s="2" t="s">
        <v>8</v>
      </c>
      <c r="B57" s="2" t="s">
        <v>9</v>
      </c>
      <c r="C57" s="2" t="s">
        <v>10</v>
      </c>
      <c r="D57" s="2">
        <v>2013</v>
      </c>
      <c r="E57" s="2">
        <v>2014</v>
      </c>
      <c r="F57" s="2">
        <v>2015</v>
      </c>
      <c r="G57" s="2">
        <v>2016</v>
      </c>
      <c r="H57" s="2">
        <v>2017</v>
      </c>
      <c r="I57" s="2">
        <v>2018</v>
      </c>
      <c r="J57" s="2">
        <v>2019</v>
      </c>
      <c r="K57" s="2">
        <v>2020</v>
      </c>
      <c r="L57" s="2">
        <v>2021</v>
      </c>
      <c r="M57" s="2">
        <v>2022</v>
      </c>
      <c r="N57" s="2">
        <v>2023</v>
      </c>
      <c r="O57" s="2">
        <v>2024</v>
      </c>
      <c r="P57" s="2">
        <v>2025</v>
      </c>
      <c r="Q57" s="2">
        <v>2026</v>
      </c>
      <c r="R57" s="2">
        <v>2027</v>
      </c>
      <c r="S57" s="2">
        <v>2028</v>
      </c>
    </row>
    <row r="58" spans="1:19" x14ac:dyDescent="0.25">
      <c r="A58" t="s">
        <v>42</v>
      </c>
      <c r="B58" t="s">
        <v>43</v>
      </c>
      <c r="C58" t="s">
        <v>44</v>
      </c>
      <c r="E58" s="1"/>
      <c r="F58" s="1"/>
      <c r="G58" s="1">
        <v>1808.5390279999999</v>
      </c>
      <c r="H58" s="1">
        <v>1814.155994</v>
      </c>
      <c r="I58" s="1">
        <v>1820.9478779999999</v>
      </c>
      <c r="J58" s="1">
        <v>1841.599704</v>
      </c>
      <c r="K58" s="1">
        <v>1862.8986870000001</v>
      </c>
      <c r="L58" s="1">
        <v>1883.379177</v>
      </c>
      <c r="M58" s="1">
        <v>1909.448711</v>
      </c>
      <c r="N58" s="1">
        <v>1942.077579</v>
      </c>
      <c r="O58" s="1">
        <v>1991.3650009999999</v>
      </c>
      <c r="P58" s="1">
        <v>2080.631801</v>
      </c>
      <c r="Q58" s="1">
        <v>2177.5693230000002</v>
      </c>
      <c r="R58" s="1">
        <v>2270.146295</v>
      </c>
      <c r="S58" s="1">
        <v>2356.4944909999999</v>
      </c>
    </row>
    <row r="59" spans="1:19" x14ac:dyDescent="0.25">
      <c r="A59" t="s">
        <v>42</v>
      </c>
      <c r="B59" t="s">
        <v>45</v>
      </c>
      <c r="C59" t="s">
        <v>46</v>
      </c>
      <c r="E59" s="1"/>
      <c r="F59" s="1"/>
      <c r="G59" s="1">
        <v>1347.543122</v>
      </c>
      <c r="H59" s="1">
        <v>1374.990198</v>
      </c>
      <c r="I59" s="1">
        <v>1393.179042</v>
      </c>
      <c r="J59" s="1">
        <v>1404.7563970000001</v>
      </c>
      <c r="K59" s="1">
        <v>1419.197555</v>
      </c>
      <c r="L59" s="1">
        <v>1438.999748</v>
      </c>
      <c r="M59" s="1">
        <v>1456.2072410000001</v>
      </c>
      <c r="N59" s="1">
        <v>1471.203049</v>
      </c>
      <c r="O59" s="1">
        <v>1496.7495019999999</v>
      </c>
      <c r="P59" s="1">
        <v>1550.5344439999999</v>
      </c>
      <c r="Q59" s="1">
        <v>1609.34815</v>
      </c>
      <c r="R59" s="1">
        <v>1676.0039260000001</v>
      </c>
      <c r="S59" s="1">
        <v>1752.2742519999999</v>
      </c>
    </row>
    <row r="60" spans="1:19" x14ac:dyDescent="0.25">
      <c r="A60" t="s">
        <v>42</v>
      </c>
      <c r="B60" t="s">
        <v>45</v>
      </c>
      <c r="C60" t="s">
        <v>47</v>
      </c>
      <c r="E60" s="1"/>
      <c r="F60" s="1"/>
      <c r="G60" s="1">
        <v>1778.405008</v>
      </c>
      <c r="H60" s="1">
        <v>1811.8044669999999</v>
      </c>
      <c r="I60" s="1">
        <v>1831.703835</v>
      </c>
      <c r="J60" s="1">
        <v>1852.9138780000001</v>
      </c>
      <c r="K60" s="1">
        <v>1879.0407009999999</v>
      </c>
      <c r="L60" s="1">
        <v>1903.784944</v>
      </c>
      <c r="M60" s="1">
        <v>1930.4407349999999</v>
      </c>
      <c r="N60" s="1">
        <v>1975.4276620000001</v>
      </c>
      <c r="O60" s="1">
        <v>2037.5471419999999</v>
      </c>
      <c r="P60" s="1">
        <v>2129.1952390000001</v>
      </c>
      <c r="Q60" s="1">
        <v>2218.8428819999999</v>
      </c>
      <c r="R60" s="1">
        <v>2320.0335570000002</v>
      </c>
      <c r="S60" s="1">
        <v>2439.1144039999999</v>
      </c>
    </row>
    <row r="61" spans="1:19" x14ac:dyDescent="0.25">
      <c r="A61" t="s">
        <v>42</v>
      </c>
      <c r="B61" t="s">
        <v>13</v>
      </c>
      <c r="C61" t="s">
        <v>48</v>
      </c>
      <c r="E61" s="1"/>
      <c r="F61" s="1"/>
      <c r="G61" s="1">
        <v>1806.585536</v>
      </c>
      <c r="H61" s="1">
        <v>1828.129766</v>
      </c>
      <c r="I61" s="1">
        <v>1852.0482750000001</v>
      </c>
      <c r="J61" s="1">
        <v>1878.0375449999999</v>
      </c>
      <c r="K61" s="1">
        <v>1900.9931220000001</v>
      </c>
      <c r="L61" s="1">
        <v>1916.67542</v>
      </c>
      <c r="M61" s="1">
        <v>1926.304185</v>
      </c>
      <c r="N61" s="1">
        <v>1937.9149789999999</v>
      </c>
      <c r="O61" s="1">
        <v>1954.5826709999999</v>
      </c>
      <c r="P61" s="1">
        <v>1996.646107</v>
      </c>
      <c r="Q61" s="1">
        <v>2057.0656039999999</v>
      </c>
      <c r="R61" s="1">
        <v>2131.1366680000001</v>
      </c>
      <c r="S61" s="1">
        <v>2207.1575939999998</v>
      </c>
    </row>
    <row r="62" spans="1:19" x14ac:dyDescent="0.25">
      <c r="A62" t="s">
        <v>42</v>
      </c>
      <c r="B62" t="s">
        <v>13</v>
      </c>
      <c r="C62" t="s">
        <v>49</v>
      </c>
      <c r="E62" s="1"/>
      <c r="F62" s="1"/>
      <c r="G62" s="1">
        <v>1831.017284</v>
      </c>
      <c r="H62" s="1">
        <v>1896.3904970000001</v>
      </c>
      <c r="I62" s="1">
        <v>1957.6364410000001</v>
      </c>
      <c r="J62" s="1">
        <v>2008.8786150000001</v>
      </c>
      <c r="K62" s="1">
        <v>2050.7602470000002</v>
      </c>
      <c r="L62" s="1">
        <v>2083.4318750000002</v>
      </c>
      <c r="M62" s="1">
        <v>2117.3191790000001</v>
      </c>
      <c r="N62" s="1">
        <v>2155.8338090000002</v>
      </c>
      <c r="O62" s="1">
        <v>2188.6536289999999</v>
      </c>
      <c r="P62" s="1">
        <v>2246.1451529999999</v>
      </c>
      <c r="Q62" s="1">
        <v>2309.9312239999999</v>
      </c>
      <c r="R62" s="1">
        <v>2366.0236949999999</v>
      </c>
      <c r="S62" s="1">
        <v>2416.358013</v>
      </c>
    </row>
    <row r="63" spans="1:19" x14ac:dyDescent="0.25">
      <c r="A63" t="s">
        <v>42</v>
      </c>
      <c r="B63" t="s">
        <v>15</v>
      </c>
      <c r="C63" t="s">
        <v>50</v>
      </c>
      <c r="E63" s="1"/>
      <c r="F63" s="1"/>
      <c r="G63" s="1">
        <v>1127.443147</v>
      </c>
      <c r="H63" s="1">
        <v>1136.213311</v>
      </c>
      <c r="I63" s="1">
        <v>1147.6173510000001</v>
      </c>
      <c r="J63" s="1">
        <v>1161.040718</v>
      </c>
      <c r="K63" s="1">
        <v>1180.0970070000001</v>
      </c>
      <c r="L63" s="1">
        <v>1202.3366619999999</v>
      </c>
      <c r="M63" s="1">
        <v>1232.244598</v>
      </c>
      <c r="N63" s="1">
        <v>1266.799387</v>
      </c>
      <c r="O63" s="1">
        <v>1312.794099</v>
      </c>
      <c r="P63" s="1">
        <v>1381.8764650000001</v>
      </c>
      <c r="Q63" s="1">
        <v>1548.0074669999999</v>
      </c>
      <c r="R63" s="1">
        <v>1722.147303</v>
      </c>
      <c r="S63" s="1">
        <v>1786.325754</v>
      </c>
    </row>
    <row r="64" spans="1:19" x14ac:dyDescent="0.25">
      <c r="A64" t="s">
        <v>42</v>
      </c>
      <c r="B64" t="s">
        <v>15</v>
      </c>
      <c r="C64" t="s">
        <v>51</v>
      </c>
      <c r="E64" s="1"/>
      <c r="F64" s="1"/>
      <c r="G64" s="1">
        <v>2381.852073</v>
      </c>
      <c r="H64" s="1">
        <v>2394.9321920000002</v>
      </c>
      <c r="I64" s="1">
        <v>2419.3704950000001</v>
      </c>
      <c r="J64" s="1">
        <v>2448.3385109999999</v>
      </c>
      <c r="K64" s="1">
        <v>2473.884372</v>
      </c>
      <c r="L64" s="1">
        <v>2498.1811750000002</v>
      </c>
      <c r="M64" s="1">
        <v>2534.0479930000001</v>
      </c>
      <c r="N64" s="1">
        <v>2587.9081879999999</v>
      </c>
      <c r="O64" s="1">
        <v>2660.7259330000002</v>
      </c>
      <c r="P64" s="1">
        <v>2788.0043559999999</v>
      </c>
      <c r="Q64" s="1">
        <v>2931.8021100000001</v>
      </c>
      <c r="R64" s="1">
        <v>3068.5551959999998</v>
      </c>
      <c r="S64" s="1">
        <v>3183.6337549999998</v>
      </c>
    </row>
    <row r="65" spans="1:19" x14ac:dyDescent="0.25">
      <c r="A65" t="s">
        <v>42</v>
      </c>
      <c r="B65" t="s">
        <v>52</v>
      </c>
      <c r="C65" t="s">
        <v>53</v>
      </c>
      <c r="E65" s="1"/>
      <c r="F65" s="1"/>
      <c r="G65" s="1">
        <v>2714.3763549999999</v>
      </c>
      <c r="H65" s="1">
        <v>2717.0577029999999</v>
      </c>
      <c r="I65" s="1">
        <v>2724.2346269999998</v>
      </c>
      <c r="J65" s="1">
        <v>2729.401151</v>
      </c>
      <c r="K65" s="1">
        <v>2737.1328279999998</v>
      </c>
      <c r="L65" s="1">
        <v>2754.576728</v>
      </c>
      <c r="M65" s="1">
        <v>2778.3503759999999</v>
      </c>
      <c r="N65" s="1">
        <v>2803.37518</v>
      </c>
      <c r="O65" s="1">
        <v>2856.4254820000001</v>
      </c>
      <c r="P65" s="1">
        <v>2971.4462979999998</v>
      </c>
      <c r="Q65" s="1">
        <v>3067.272348</v>
      </c>
      <c r="R65" s="1">
        <v>3135.2919889999998</v>
      </c>
      <c r="S65" s="1">
        <v>3205.661595</v>
      </c>
    </row>
    <row r="66" spans="1:19" x14ac:dyDescent="0.25">
      <c r="A66" t="s">
        <v>42</v>
      </c>
      <c r="B66" t="s">
        <v>52</v>
      </c>
      <c r="C66" t="s">
        <v>54</v>
      </c>
      <c r="E66" s="1"/>
      <c r="F66" s="1"/>
      <c r="G66" s="1">
        <v>1675.7272250000001</v>
      </c>
      <c r="H66" s="1">
        <v>1687.4036639999999</v>
      </c>
      <c r="I66" s="1">
        <v>1701.0702920000001</v>
      </c>
      <c r="J66" s="1">
        <v>1712.4810339999999</v>
      </c>
      <c r="K66" s="1">
        <v>1721.8157940000001</v>
      </c>
      <c r="L66" s="1">
        <v>1731.953397</v>
      </c>
      <c r="M66" s="1">
        <v>1748.80043</v>
      </c>
      <c r="N66" s="1">
        <v>1767.1070440000001</v>
      </c>
      <c r="O66" s="1">
        <v>1788.602971</v>
      </c>
      <c r="P66" s="1">
        <v>1842.142812</v>
      </c>
      <c r="Q66" s="1">
        <v>1894.6397689999999</v>
      </c>
      <c r="R66" s="1">
        <v>1936.70253</v>
      </c>
      <c r="S66" s="1">
        <v>1973.1138579999999</v>
      </c>
    </row>
    <row r="67" spans="1:19" x14ac:dyDescent="0.25">
      <c r="A67" t="s">
        <v>42</v>
      </c>
      <c r="B67" t="s">
        <v>52</v>
      </c>
      <c r="C67" t="s">
        <v>55</v>
      </c>
      <c r="E67" s="1"/>
      <c r="F67" s="1"/>
      <c r="G67" s="1">
        <v>1710.1144220000001</v>
      </c>
      <c r="H67" s="1">
        <v>1731.091641</v>
      </c>
      <c r="I67" s="1">
        <v>1755.4584520000001</v>
      </c>
      <c r="J67" s="1">
        <v>1772.5942150000001</v>
      </c>
      <c r="K67" s="1">
        <v>1787.159463</v>
      </c>
      <c r="L67" s="1">
        <v>1799.323496</v>
      </c>
      <c r="M67" s="1">
        <v>1809.39634</v>
      </c>
      <c r="N67" s="1">
        <v>1820.3201570000001</v>
      </c>
      <c r="O67" s="1">
        <v>1840.5217789999999</v>
      </c>
      <c r="P67" s="1">
        <v>1897.4886180000001</v>
      </c>
      <c r="Q67" s="1">
        <v>1957.124454</v>
      </c>
      <c r="R67" s="1">
        <v>2008.951319</v>
      </c>
      <c r="S67" s="1">
        <v>2061.6114600000001</v>
      </c>
    </row>
    <row r="68" spans="1:19" x14ac:dyDescent="0.25">
      <c r="A68" t="s">
        <v>42</v>
      </c>
      <c r="B68" t="s">
        <v>56</v>
      </c>
      <c r="C68" t="s">
        <v>57</v>
      </c>
      <c r="E68" s="1"/>
      <c r="F68" s="1"/>
      <c r="G68" s="1">
        <v>2311.7374970000001</v>
      </c>
      <c r="H68" s="1">
        <v>2381.9001239999998</v>
      </c>
      <c r="I68" s="1">
        <v>2429.6738420000001</v>
      </c>
      <c r="J68" s="1">
        <v>2458.0064520000001</v>
      </c>
      <c r="K68" s="1">
        <v>2484.8300819999999</v>
      </c>
      <c r="L68" s="1">
        <v>2517.2803429999999</v>
      </c>
      <c r="M68" s="1">
        <v>2567.1292779999999</v>
      </c>
      <c r="N68" s="1">
        <v>2633.0665960000001</v>
      </c>
      <c r="O68" s="1">
        <v>2692.7123459999998</v>
      </c>
      <c r="P68" s="1">
        <v>2788.9816660000001</v>
      </c>
      <c r="Q68" s="1">
        <v>2882.0911000000001</v>
      </c>
      <c r="R68" s="1">
        <v>2967.6462280000001</v>
      </c>
      <c r="S68" s="1">
        <v>3045.1103360000002</v>
      </c>
    </row>
    <row r="69" spans="1:19" x14ac:dyDescent="0.25">
      <c r="A69" t="s">
        <v>42</v>
      </c>
      <c r="B69" t="s">
        <v>56</v>
      </c>
      <c r="C69" t="s">
        <v>58</v>
      </c>
      <c r="E69" s="1"/>
      <c r="F69" s="1"/>
      <c r="G69" s="1">
        <v>1009.046205</v>
      </c>
      <c r="H69" s="1">
        <v>1044.766746</v>
      </c>
      <c r="I69" s="1">
        <v>1079.878383</v>
      </c>
      <c r="J69" s="1">
        <v>1118.4701680000001</v>
      </c>
      <c r="K69" s="1">
        <v>1157.2239400000001</v>
      </c>
      <c r="L69" s="1">
        <v>1191.372083</v>
      </c>
      <c r="M69" s="1">
        <v>1222.345593</v>
      </c>
      <c r="N69" s="1">
        <v>1254.475187</v>
      </c>
      <c r="O69" s="1">
        <v>1296.394888</v>
      </c>
      <c r="P69" s="1">
        <v>1364.6226079999999</v>
      </c>
      <c r="Q69" s="1">
        <v>1436.8539229999999</v>
      </c>
      <c r="R69" s="1">
        <v>1507.7660679999999</v>
      </c>
      <c r="S69" s="1">
        <v>1571.134888</v>
      </c>
    </row>
    <row r="70" spans="1:19" x14ac:dyDescent="0.25">
      <c r="A70" t="s">
        <v>42</v>
      </c>
      <c r="B70" t="s">
        <v>56</v>
      </c>
      <c r="C70" t="s">
        <v>59</v>
      </c>
      <c r="E70" s="1"/>
      <c r="F70" s="1"/>
      <c r="G70" s="1">
        <v>1457.5883240000001</v>
      </c>
      <c r="H70" s="1">
        <v>1530.0932359999999</v>
      </c>
      <c r="I70" s="1">
        <v>1597.6655040000001</v>
      </c>
      <c r="J70" s="1">
        <v>1656.3700060000001</v>
      </c>
      <c r="K70" s="1">
        <v>1713.0095759999999</v>
      </c>
      <c r="L70" s="1">
        <v>1768.8663979999999</v>
      </c>
      <c r="M70" s="1">
        <v>1828.2922590000001</v>
      </c>
      <c r="N70" s="1">
        <v>1905.3297050000001</v>
      </c>
      <c r="O70" s="1">
        <v>1982.8247389999999</v>
      </c>
      <c r="P70" s="1">
        <v>2080.9634850000002</v>
      </c>
      <c r="Q70" s="1">
        <v>2184.8654550000001</v>
      </c>
      <c r="R70" s="1">
        <v>2286.525549</v>
      </c>
      <c r="S70" s="1">
        <v>2377.0970299999999</v>
      </c>
    </row>
    <row r="71" spans="1:19" x14ac:dyDescent="0.25">
      <c r="A71" t="s">
        <v>42</v>
      </c>
      <c r="B71" t="s">
        <v>56</v>
      </c>
      <c r="C71" t="s">
        <v>60</v>
      </c>
      <c r="E71" s="1"/>
      <c r="F71" s="1"/>
      <c r="G71" s="1">
        <v>2342.339191</v>
      </c>
      <c r="H71" s="1">
        <v>2394.528421</v>
      </c>
      <c r="I71" s="1">
        <v>2434.6250129999999</v>
      </c>
      <c r="J71" s="1">
        <v>2462.4506040000001</v>
      </c>
      <c r="K71" s="1">
        <v>2489.6753939999999</v>
      </c>
      <c r="L71" s="1">
        <v>2524.573347</v>
      </c>
      <c r="M71" s="1">
        <v>2573.2031149999998</v>
      </c>
      <c r="N71" s="1">
        <v>2634.8983280000002</v>
      </c>
      <c r="O71" s="1">
        <v>2680.6233590000002</v>
      </c>
      <c r="P71" s="1">
        <v>2751.8974069999999</v>
      </c>
      <c r="Q71" s="1">
        <v>2819.4604330000002</v>
      </c>
      <c r="R71" s="1">
        <v>2874.410081</v>
      </c>
      <c r="S71" s="1">
        <v>2931.6050919999998</v>
      </c>
    </row>
    <row r="73" spans="1:19" x14ac:dyDescent="0.25">
      <c r="A73" s="11" t="s">
        <v>61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 x14ac:dyDescent="0.25">
      <c r="A74" t="s">
        <v>62</v>
      </c>
    </row>
    <row r="75" spans="1:19" x14ac:dyDescent="0.25">
      <c r="A75" s="3" t="s">
        <v>63</v>
      </c>
    </row>
    <row r="76" spans="1:19" x14ac:dyDescent="0.25">
      <c r="D76" s="2">
        <v>2013</v>
      </c>
      <c r="E76" s="2">
        <v>2014</v>
      </c>
      <c r="F76" s="2">
        <v>2015</v>
      </c>
      <c r="G76" s="2">
        <v>2016</v>
      </c>
      <c r="H76" s="2">
        <v>2017</v>
      </c>
      <c r="I76" s="2">
        <v>2018</v>
      </c>
      <c r="J76" s="2">
        <v>2019</v>
      </c>
      <c r="K76" s="2">
        <v>2020</v>
      </c>
      <c r="L76" s="2">
        <v>2021</v>
      </c>
      <c r="M76" s="2">
        <v>2022</v>
      </c>
      <c r="N76" s="2">
        <v>2023</v>
      </c>
      <c r="O76" s="2">
        <v>2024</v>
      </c>
      <c r="P76" s="2">
        <v>2025</v>
      </c>
      <c r="Q76" s="2">
        <v>2026</v>
      </c>
      <c r="R76" s="2">
        <v>2027</v>
      </c>
      <c r="S76" s="2">
        <v>2028</v>
      </c>
    </row>
    <row r="77" spans="1:19" x14ac:dyDescent="0.25">
      <c r="D77" t="s">
        <v>64</v>
      </c>
      <c r="E77" t="s">
        <v>64</v>
      </c>
      <c r="F77" t="s">
        <v>64</v>
      </c>
      <c r="G77" t="s">
        <v>64</v>
      </c>
      <c r="H77" t="s">
        <v>64</v>
      </c>
      <c r="I77" t="s">
        <v>64</v>
      </c>
      <c r="J77" t="s">
        <v>64</v>
      </c>
      <c r="K77" t="s">
        <v>64</v>
      </c>
      <c r="L77" t="s">
        <v>64</v>
      </c>
      <c r="M77" t="s">
        <v>64</v>
      </c>
      <c r="N77" t="s">
        <v>64</v>
      </c>
      <c r="O77" t="s">
        <v>65</v>
      </c>
      <c r="P77" t="s">
        <v>65</v>
      </c>
      <c r="Q77" t="s">
        <v>65</v>
      </c>
      <c r="R77" t="s">
        <v>65</v>
      </c>
      <c r="S77" t="s">
        <v>65</v>
      </c>
    </row>
    <row r="78" spans="1:19" x14ac:dyDescent="0.25">
      <c r="A78" t="s">
        <v>66</v>
      </c>
      <c r="D78" s="12">
        <v>244.67499999999998</v>
      </c>
      <c r="E78" s="12">
        <v>251.73333333333335</v>
      </c>
      <c r="F78" s="12">
        <v>256.66666666666669</v>
      </c>
      <c r="G78" s="12">
        <v>259.43333333333334</v>
      </c>
      <c r="H78" s="12">
        <v>264.99166666666673</v>
      </c>
      <c r="I78" s="12">
        <v>274.90833333333336</v>
      </c>
      <c r="J78" s="12">
        <v>283.30833333333334</v>
      </c>
      <c r="K78" s="12">
        <v>290.64166666666665</v>
      </c>
      <c r="L78" s="12">
        <v>294.16666666666669</v>
      </c>
      <c r="M78" s="12">
        <v>307.32821397646848</v>
      </c>
      <c r="N78" s="12">
        <v>334.29358180068937</v>
      </c>
      <c r="O78" s="61">
        <f>N78*(1+O79)</f>
        <v>348.12044149935122</v>
      </c>
      <c r="P78" s="61">
        <f t="shared" ref="P78:S78" si="16">O78*(1+P79)</f>
        <v>350.24104570902796</v>
      </c>
      <c r="Q78" s="61">
        <f>P78*(1+Q79)</f>
        <v>350.1632173525216</v>
      </c>
      <c r="R78" s="61">
        <f t="shared" si="16"/>
        <v>353.10403332445213</v>
      </c>
      <c r="S78" s="61">
        <f t="shared" si="16"/>
        <v>359.23573777030958</v>
      </c>
    </row>
    <row r="79" spans="1:19" x14ac:dyDescent="0.25">
      <c r="A79" t="s">
        <v>67</v>
      </c>
      <c r="D79" s="55">
        <v>3.0897791510129599E-2</v>
      </c>
      <c r="E79" s="10">
        <v>2.8847791287762714E-2</v>
      </c>
      <c r="F79" s="10">
        <v>1.9597457627118731E-2</v>
      </c>
      <c r="G79" s="10">
        <v>1.0779220779220777E-2</v>
      </c>
      <c r="H79" s="10">
        <v>2.1424900424001248E-2</v>
      </c>
      <c r="I79" s="10">
        <v>3.7422560457875953E-2</v>
      </c>
      <c r="J79" s="10">
        <v>3.0555639758707454E-2</v>
      </c>
      <c r="K79" s="10">
        <v>2.5884636879724532E-2</v>
      </c>
      <c r="L79" s="10">
        <v>1.2128336726209277E-2</v>
      </c>
      <c r="M79" s="10">
        <v>4.4741803886011677E-2</v>
      </c>
      <c r="N79" s="10">
        <v>8.7741270075143651E-2</v>
      </c>
      <c r="O79" s="62">
        <v>4.1361427354311697E-2</v>
      </c>
      <c r="P79" s="62">
        <v>6.0915819839344465E-3</v>
      </c>
      <c r="Q79" s="62">
        <v>-2.2221369385422296E-4</v>
      </c>
      <c r="R79" s="62">
        <v>8.398414871114035E-3</v>
      </c>
      <c r="S79" s="62">
        <v>1.7365149834534188E-2</v>
      </c>
    </row>
    <row r="81" spans="1:19" x14ac:dyDescent="0.25">
      <c r="A81" s="13" t="s">
        <v>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1:19" x14ac:dyDescent="0.25">
      <c r="A82" t="s">
        <v>69</v>
      </c>
    </row>
    <row r="84" spans="1:19" x14ac:dyDescent="0.25">
      <c r="D84" s="2">
        <v>2013</v>
      </c>
      <c r="E84" s="2">
        <v>2014</v>
      </c>
      <c r="F84" s="2">
        <v>2015</v>
      </c>
      <c r="G84" s="2">
        <v>2016</v>
      </c>
      <c r="H84" s="2">
        <v>2017</v>
      </c>
      <c r="I84" s="2">
        <v>2018</v>
      </c>
      <c r="J84" s="2">
        <v>2019</v>
      </c>
      <c r="K84" s="2">
        <v>2020</v>
      </c>
      <c r="L84" s="2">
        <v>2021</v>
      </c>
      <c r="M84" s="2">
        <v>2022</v>
      </c>
      <c r="N84" s="2">
        <v>2023</v>
      </c>
      <c r="O84" s="2">
        <v>2024</v>
      </c>
      <c r="P84" s="2">
        <v>2025</v>
      </c>
      <c r="Q84" s="2">
        <v>2026</v>
      </c>
      <c r="R84" s="2">
        <v>2027</v>
      </c>
      <c r="S84" s="2">
        <v>2028</v>
      </c>
    </row>
    <row r="85" spans="1:19" x14ac:dyDescent="0.25">
      <c r="D85" t="s">
        <v>64</v>
      </c>
      <c r="E85" t="s">
        <v>64</v>
      </c>
      <c r="F85" t="s">
        <v>64</v>
      </c>
      <c r="G85" t="s">
        <v>64</v>
      </c>
      <c r="H85" t="s">
        <v>64</v>
      </c>
      <c r="I85" t="s">
        <v>64</v>
      </c>
      <c r="J85" t="s">
        <v>64</v>
      </c>
      <c r="K85" t="s">
        <v>64</v>
      </c>
      <c r="L85" t="s">
        <v>64</v>
      </c>
      <c r="M85" t="s">
        <v>64</v>
      </c>
      <c r="N85" t="s">
        <v>64</v>
      </c>
      <c r="O85" t="s">
        <v>65</v>
      </c>
      <c r="P85" t="s">
        <v>65</v>
      </c>
      <c r="Q85" t="s">
        <v>65</v>
      </c>
      <c r="R85" t="s">
        <v>65</v>
      </c>
      <c r="S85" t="s">
        <v>65</v>
      </c>
    </row>
    <row r="86" spans="1:19" x14ac:dyDescent="0.25">
      <c r="A86" t="s">
        <v>66</v>
      </c>
      <c r="D86" s="12">
        <v>244.67499999999998</v>
      </c>
      <c r="E86" s="12">
        <v>251.73333333333335</v>
      </c>
      <c r="F86" s="12">
        <v>256.66666666666669</v>
      </c>
      <c r="G86" s="12">
        <v>259.43333333333334</v>
      </c>
      <c r="H86" s="12">
        <v>264.99166666666673</v>
      </c>
      <c r="I86" s="12">
        <v>274.90833333333336</v>
      </c>
      <c r="J86" s="12">
        <v>283.30833333333334</v>
      </c>
      <c r="K86" s="12">
        <v>290.64166666666665</v>
      </c>
      <c r="L86" s="12">
        <v>294.16666666666669</v>
      </c>
      <c r="M86" s="12">
        <v>311.1583333333333</v>
      </c>
      <c r="N86" s="12">
        <v>351.2166666666667</v>
      </c>
      <c r="O86" s="61">
        <f>N86*(1+O87)</f>
        <v>369.65364729225979</v>
      </c>
      <c r="P86" s="61">
        <f t="shared" ref="P86:S86" si="17">O86*(1+P87)</f>
        <v>371.90542279040096</v>
      </c>
      <c r="Q86" s="61">
        <f t="shared" si="17"/>
        <v>371.82278031263832</v>
      </c>
      <c r="R86" s="61">
        <f t="shared" si="17"/>
        <v>374.94550228023496</v>
      </c>
      <c r="S86" s="61">
        <f t="shared" si="17"/>
        <v>381.45648710711595</v>
      </c>
    </row>
    <row r="87" spans="1:19" x14ac:dyDescent="0.25">
      <c r="A87" t="s">
        <v>67</v>
      </c>
      <c r="D87" s="55">
        <v>3.0897791510129599E-2</v>
      </c>
      <c r="E87" s="10">
        <v>2.8847791287762714E-2</v>
      </c>
      <c r="F87" s="10">
        <v>1.9597457627118731E-2</v>
      </c>
      <c r="G87" s="10">
        <v>1.0779220779220777E-2</v>
      </c>
      <c r="H87" s="10">
        <v>2.1424900424001248E-2</v>
      </c>
      <c r="I87" s="10">
        <v>3.7422560457875953E-2</v>
      </c>
      <c r="J87" s="10">
        <v>3.0555639758707454E-2</v>
      </c>
      <c r="K87" s="10">
        <v>2.5884636879724532E-2</v>
      </c>
      <c r="L87" s="10">
        <v>1.2128336726209277E-2</v>
      </c>
      <c r="M87" s="10">
        <v>5.7762039660056441E-2</v>
      </c>
      <c r="N87" s="10">
        <v>0.12873938777149907</v>
      </c>
      <c r="O87" s="63">
        <v>5.2494606251392129E-2</v>
      </c>
      <c r="P87" s="62">
        <v>6.0915819839344465E-3</v>
      </c>
      <c r="Q87" s="62">
        <v>-2.2221369385422296E-4</v>
      </c>
      <c r="R87" s="62">
        <v>8.398414871114035E-3</v>
      </c>
      <c r="S87" s="62">
        <v>1.7365149834534188E-2</v>
      </c>
    </row>
    <row r="89" spans="1:19" x14ac:dyDescent="0.25">
      <c r="A89" s="13" t="s">
        <v>70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1:19" x14ac:dyDescent="0.25">
      <c r="A90" t="s">
        <v>71</v>
      </c>
    </row>
    <row r="91" spans="1:19" x14ac:dyDescent="0.25">
      <c r="A91" s="3" t="s">
        <v>72</v>
      </c>
    </row>
    <row r="92" spans="1:19" x14ac:dyDescent="0.25">
      <c r="D92" s="2">
        <v>2013</v>
      </c>
      <c r="E92" s="2">
        <v>2014</v>
      </c>
      <c r="F92" s="2">
        <v>2015</v>
      </c>
      <c r="G92" s="2">
        <v>2016</v>
      </c>
      <c r="H92" s="2">
        <v>2017</v>
      </c>
      <c r="I92" s="2">
        <v>2018</v>
      </c>
      <c r="J92" s="2">
        <v>2019</v>
      </c>
      <c r="K92" s="2">
        <v>2020</v>
      </c>
      <c r="L92" s="2">
        <v>2021</v>
      </c>
      <c r="M92" s="2">
        <v>2022</v>
      </c>
      <c r="N92" s="2">
        <v>2023</v>
      </c>
      <c r="O92" s="64">
        <v>2024</v>
      </c>
      <c r="P92" s="64">
        <v>2025</v>
      </c>
      <c r="Q92" s="64">
        <v>2026</v>
      </c>
      <c r="R92" s="64">
        <v>2027</v>
      </c>
      <c r="S92" s="64">
        <v>2028</v>
      </c>
    </row>
    <row r="93" spans="1:19" x14ac:dyDescent="0.25">
      <c r="A93" t="s">
        <v>73</v>
      </c>
      <c r="E93" s="12">
        <v>98.600000000000009</v>
      </c>
      <c r="F93" s="12">
        <v>99.725000000000009</v>
      </c>
      <c r="G93" s="12">
        <v>100.16666666666667</v>
      </c>
      <c r="H93" s="12">
        <v>101.54166666666667</v>
      </c>
      <c r="I93" s="12">
        <v>104.21666666666668</v>
      </c>
      <c r="J93" s="12">
        <v>106.43333333333334</v>
      </c>
      <c r="K93" s="12">
        <v>108.24166666666666</v>
      </c>
      <c r="L93" s="12">
        <v>109.10833333333333</v>
      </c>
      <c r="M93" s="12">
        <v>113.11666666666666</v>
      </c>
      <c r="N93" s="12">
        <v>123.04166666666667</v>
      </c>
      <c r="O93" s="61">
        <f>N93*(1+O94)</f>
        <v>128.13084562405345</v>
      </c>
      <c r="P93" s="61">
        <f t="shared" ref="P93" si="18">O93*(1+P94)</f>
        <v>128.91136517484321</v>
      </c>
      <c r="Q93" s="61">
        <f t="shared" ref="Q93" si="19">P93*(1+Q94)</f>
        <v>128.88271930420791</v>
      </c>
      <c r="R93" s="61">
        <f t="shared" ref="R93" si="20">Q93*(1+R94)</f>
        <v>129.96512985064197</v>
      </c>
      <c r="S93" s="61">
        <f t="shared" ref="S93" si="21">R93*(1+S94)</f>
        <v>132.22199380376307</v>
      </c>
    </row>
    <row r="94" spans="1:19" x14ac:dyDescent="0.25">
      <c r="A94" t="s">
        <v>74</v>
      </c>
      <c r="O94" s="62">
        <v>4.1361427354311697E-2</v>
      </c>
      <c r="P94" s="62">
        <v>6.0915819839344465E-3</v>
      </c>
      <c r="Q94" s="62">
        <v>-2.2221369385422296E-4</v>
      </c>
      <c r="R94" s="62">
        <v>8.398414871114035E-3</v>
      </c>
      <c r="S94" s="62">
        <v>1.7365149834534188E-2</v>
      </c>
    </row>
    <row r="95" spans="1:19" x14ac:dyDescent="0.25">
      <c r="O95" s="15"/>
      <c r="P95" s="15"/>
      <c r="Q95" s="15"/>
      <c r="R95" s="15"/>
      <c r="S95" s="15"/>
    </row>
    <row r="96" spans="1:19" x14ac:dyDescent="0.25">
      <c r="A96" t="s">
        <v>75</v>
      </c>
      <c r="O96" s="15"/>
      <c r="P96" s="15"/>
      <c r="Q96" s="15"/>
      <c r="R96" s="15"/>
      <c r="S96" s="15"/>
    </row>
    <row r="97" spans="1:19" x14ac:dyDescent="0.25">
      <c r="A97" t="s">
        <v>76</v>
      </c>
      <c r="N97" s="18">
        <v>6.8000000000000005E-2</v>
      </c>
      <c r="O97" s="62">
        <v>2.9000000000000001E-2</v>
      </c>
      <c r="P97" s="62">
        <v>0.02</v>
      </c>
      <c r="Q97" s="62">
        <v>2.1000000000000001E-2</v>
      </c>
      <c r="R97" s="62">
        <v>2.1999999999999999E-2</v>
      </c>
      <c r="S97" s="15"/>
    </row>
    <row r="98" spans="1:19" x14ac:dyDescent="0.25">
      <c r="A98" t="s">
        <v>77</v>
      </c>
      <c r="N98" s="18"/>
      <c r="O98" s="62">
        <f>N97*0.75 + O97*0.25</f>
        <v>5.8250000000000003E-2</v>
      </c>
      <c r="P98" s="62">
        <f>O97*0.75 + P97*0.25</f>
        <v>2.6750000000000003E-2</v>
      </c>
      <c r="Q98" s="62">
        <f t="shared" ref="Q98:R98" si="22">P97*0.75 + Q97*0.25</f>
        <v>2.0250000000000001E-2</v>
      </c>
      <c r="R98" s="62">
        <f t="shared" si="22"/>
        <v>2.1249999999999998E-2</v>
      </c>
      <c r="S98" s="15"/>
    </row>
    <row r="99" spans="1:19" x14ac:dyDescent="0.25">
      <c r="A99" t="s">
        <v>78</v>
      </c>
      <c r="N99" s="18">
        <v>9.0999999999999998E-2</v>
      </c>
      <c r="O99" s="62">
        <v>3.9E-2</v>
      </c>
      <c r="P99" s="62">
        <v>2.5999999999999999E-2</v>
      </c>
      <c r="Q99" s="62">
        <v>0.03</v>
      </c>
      <c r="R99" s="62">
        <v>3.4000000000000002E-2</v>
      </c>
      <c r="S99" s="15"/>
    </row>
    <row r="100" spans="1:19" x14ac:dyDescent="0.25">
      <c r="A100" t="s">
        <v>79</v>
      </c>
      <c r="O100" s="62">
        <f>N99*0.75 + O99*0.25</f>
        <v>7.8E-2</v>
      </c>
      <c r="P100" s="62">
        <f t="shared" ref="P100:R100" si="23">O99*0.75 + P99*0.25</f>
        <v>3.5749999999999997E-2</v>
      </c>
      <c r="Q100" s="62">
        <f t="shared" si="23"/>
        <v>2.7E-2</v>
      </c>
      <c r="R100" s="62">
        <f t="shared" si="23"/>
        <v>3.1E-2</v>
      </c>
      <c r="S100" s="15"/>
    </row>
    <row r="102" spans="1:19" x14ac:dyDescent="0.25">
      <c r="A102" s="16" t="s">
        <v>80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1:19" x14ac:dyDescent="0.25">
      <c r="A103" t="s">
        <v>81</v>
      </c>
    </row>
    <row r="105" spans="1:19" x14ac:dyDescent="0.25">
      <c r="A105" s="2" t="s">
        <v>8</v>
      </c>
      <c r="B105" s="2" t="s">
        <v>9</v>
      </c>
      <c r="C105" s="2" t="s">
        <v>10</v>
      </c>
      <c r="D105" s="2">
        <v>2013</v>
      </c>
      <c r="E105" s="2">
        <v>2014</v>
      </c>
      <c r="F105" s="2">
        <v>2015</v>
      </c>
      <c r="G105" s="2">
        <v>2016</v>
      </c>
      <c r="H105" s="2">
        <v>2017</v>
      </c>
      <c r="I105" s="2">
        <v>2018</v>
      </c>
      <c r="J105" s="2">
        <v>2019</v>
      </c>
      <c r="K105" s="2">
        <v>2020</v>
      </c>
      <c r="L105" s="2">
        <v>2021</v>
      </c>
      <c r="M105" s="2">
        <v>2022</v>
      </c>
      <c r="N105" s="2">
        <v>2023</v>
      </c>
      <c r="O105" s="2">
        <v>2024</v>
      </c>
      <c r="P105" s="2">
        <v>2025</v>
      </c>
      <c r="Q105" s="2">
        <v>2026</v>
      </c>
      <c r="R105" s="2">
        <v>2027</v>
      </c>
      <c r="S105" s="2">
        <v>2028</v>
      </c>
    </row>
    <row r="106" spans="1:19" x14ac:dyDescent="0.25">
      <c r="A106" t="s">
        <v>11</v>
      </c>
      <c r="B106" t="s">
        <v>12</v>
      </c>
      <c r="C106" t="s">
        <v>12</v>
      </c>
      <c r="E106" s="73">
        <v>0.6</v>
      </c>
      <c r="F106" s="73">
        <v>0.6</v>
      </c>
      <c r="G106" s="73">
        <v>0.6</v>
      </c>
      <c r="H106" s="73">
        <v>0.6</v>
      </c>
      <c r="I106" s="73">
        <v>0.6</v>
      </c>
      <c r="J106" s="73">
        <v>0.6</v>
      </c>
      <c r="K106" s="73">
        <v>0.6</v>
      </c>
      <c r="L106" s="73">
        <v>0.6</v>
      </c>
      <c r="M106" s="73">
        <v>0.55000000000000004</v>
      </c>
      <c r="N106" s="73">
        <v>0.55000000000000004</v>
      </c>
      <c r="O106" s="73">
        <v>0.55000000000000004</v>
      </c>
      <c r="P106" s="73">
        <v>0.55000000000000004</v>
      </c>
      <c r="Q106" s="73">
        <v>0.55000000000000004</v>
      </c>
      <c r="R106" s="73"/>
      <c r="S106" s="73"/>
    </row>
    <row r="107" spans="1:19" x14ac:dyDescent="0.25">
      <c r="A107" t="s">
        <v>11</v>
      </c>
      <c r="B107" t="s">
        <v>13</v>
      </c>
      <c r="C107" t="s">
        <v>14</v>
      </c>
      <c r="E107" s="73">
        <v>0.55000000000000004</v>
      </c>
      <c r="F107" s="73">
        <v>0.55000000000000004</v>
      </c>
      <c r="G107" s="73">
        <v>0.55000000000000004</v>
      </c>
      <c r="H107" s="73">
        <v>0.55000000000000004</v>
      </c>
      <c r="I107" s="73">
        <v>0.55000000000000004</v>
      </c>
      <c r="J107" s="73">
        <v>0.55000000000000004</v>
      </c>
      <c r="K107" s="73">
        <v>0.55000000000000004</v>
      </c>
      <c r="L107" s="73">
        <v>0.55000000000000004</v>
      </c>
      <c r="M107" s="73">
        <v>0.55000000000000004</v>
      </c>
      <c r="N107" s="73">
        <v>0.55000000000000004</v>
      </c>
      <c r="O107" s="73">
        <v>0.55000000000000004</v>
      </c>
      <c r="P107" s="73">
        <v>0.55000000000000004</v>
      </c>
      <c r="Q107" s="73">
        <v>0.55000000000000004</v>
      </c>
      <c r="R107" s="73"/>
      <c r="S107" s="73"/>
    </row>
    <row r="108" spans="1:19" x14ac:dyDescent="0.25">
      <c r="A108" t="s">
        <v>11</v>
      </c>
      <c r="B108" t="s">
        <v>15</v>
      </c>
      <c r="C108" t="s">
        <v>16</v>
      </c>
      <c r="E108" s="73">
        <v>0.55000000000000004</v>
      </c>
      <c r="F108" s="73">
        <v>0.55000000000000004</v>
      </c>
      <c r="G108" s="73">
        <v>0.55000000000000004</v>
      </c>
      <c r="H108" s="73">
        <v>0.55000000000000004</v>
      </c>
      <c r="I108" s="73">
        <v>0.55000000000000004</v>
      </c>
      <c r="J108" s="73">
        <v>0.55000000000000004</v>
      </c>
      <c r="K108" s="73">
        <v>0.55000000000000004</v>
      </c>
      <c r="L108" s="73">
        <v>0.55000000000000004</v>
      </c>
      <c r="M108" s="73">
        <v>0.55000000000000004</v>
      </c>
      <c r="N108" s="73">
        <v>0.55000000000000004</v>
      </c>
      <c r="O108" s="73">
        <v>0.55000000000000004</v>
      </c>
      <c r="P108" s="73">
        <v>0.55000000000000004</v>
      </c>
      <c r="Q108" s="73">
        <v>0.55000000000000004</v>
      </c>
      <c r="R108" s="73"/>
      <c r="S108" s="73"/>
    </row>
    <row r="109" spans="1:19" x14ac:dyDescent="0.25">
      <c r="A109" t="s">
        <v>17</v>
      </c>
      <c r="B109" t="s">
        <v>18</v>
      </c>
      <c r="C109" t="s">
        <v>19</v>
      </c>
      <c r="E109" s="73">
        <v>0.65</v>
      </c>
      <c r="F109" s="73">
        <v>0.65</v>
      </c>
      <c r="G109" s="73">
        <v>0.65</v>
      </c>
      <c r="H109" s="73">
        <v>0.65</v>
      </c>
      <c r="I109" s="73">
        <v>0.65</v>
      </c>
      <c r="J109" s="73">
        <v>0.65</v>
      </c>
      <c r="K109" s="73">
        <v>0.65</v>
      </c>
      <c r="L109" s="73">
        <v>0.65</v>
      </c>
      <c r="M109" s="73">
        <v>0.6</v>
      </c>
      <c r="N109" s="73">
        <v>0.6</v>
      </c>
      <c r="O109" s="73">
        <v>0.6</v>
      </c>
      <c r="P109" s="73">
        <v>0.6</v>
      </c>
      <c r="Q109" s="73">
        <v>0.6</v>
      </c>
      <c r="R109" s="73"/>
      <c r="S109" s="73"/>
    </row>
    <row r="110" spans="1:19" x14ac:dyDescent="0.25">
      <c r="A110" t="s">
        <v>17</v>
      </c>
      <c r="B110" t="s">
        <v>18</v>
      </c>
      <c r="C110" t="s">
        <v>20</v>
      </c>
      <c r="E110" s="73">
        <v>0.65</v>
      </c>
      <c r="F110" s="73">
        <v>0.65</v>
      </c>
      <c r="G110" s="73">
        <v>0.65</v>
      </c>
      <c r="H110" s="73">
        <v>0.65</v>
      </c>
      <c r="I110" s="73">
        <v>0.65</v>
      </c>
      <c r="J110" s="73">
        <v>0.65</v>
      </c>
      <c r="K110" s="73">
        <v>0.65</v>
      </c>
      <c r="L110" s="73">
        <v>0.65</v>
      </c>
      <c r="M110" s="73">
        <v>0.6</v>
      </c>
      <c r="N110" s="73">
        <v>0.6</v>
      </c>
      <c r="O110" s="73">
        <v>0.6</v>
      </c>
      <c r="P110" s="73">
        <v>0.6</v>
      </c>
      <c r="Q110" s="73">
        <v>0.6</v>
      </c>
      <c r="R110" s="73"/>
      <c r="S110" s="73"/>
    </row>
    <row r="111" spans="1:19" x14ac:dyDescent="0.25">
      <c r="A111" t="s">
        <v>17</v>
      </c>
      <c r="B111" t="s">
        <v>18</v>
      </c>
      <c r="C111" t="s">
        <v>21</v>
      </c>
      <c r="E111" s="73">
        <v>0.65</v>
      </c>
      <c r="F111" s="73">
        <v>0.65</v>
      </c>
      <c r="G111" s="73">
        <v>0.65</v>
      </c>
      <c r="H111" s="73">
        <v>0.65</v>
      </c>
      <c r="I111" s="73">
        <v>0.65</v>
      </c>
      <c r="J111" s="73">
        <v>0.65</v>
      </c>
      <c r="K111" s="73">
        <v>0.65</v>
      </c>
      <c r="L111" s="73">
        <v>0.65</v>
      </c>
      <c r="M111" s="73">
        <v>0.6</v>
      </c>
      <c r="N111" s="73">
        <v>0.6</v>
      </c>
      <c r="O111" s="73">
        <v>0.6</v>
      </c>
      <c r="P111" s="73">
        <v>0.6</v>
      </c>
      <c r="Q111" s="73">
        <v>0.6</v>
      </c>
      <c r="R111" s="73"/>
      <c r="S111" s="73"/>
    </row>
    <row r="112" spans="1:19" x14ac:dyDescent="0.25">
      <c r="A112" t="s">
        <v>17</v>
      </c>
      <c r="B112" t="s">
        <v>18</v>
      </c>
      <c r="C112" t="s">
        <v>22</v>
      </c>
      <c r="E112" s="73">
        <v>0.65</v>
      </c>
      <c r="F112" s="73">
        <v>0.65</v>
      </c>
      <c r="G112" s="73">
        <v>0.65</v>
      </c>
      <c r="H112" s="73">
        <v>0.65</v>
      </c>
      <c r="I112" s="73">
        <v>0.65</v>
      </c>
      <c r="J112" s="73">
        <v>0.65</v>
      </c>
      <c r="K112" s="73">
        <v>0.65</v>
      </c>
      <c r="L112" s="73">
        <v>0.65</v>
      </c>
      <c r="M112" s="73">
        <v>0.6</v>
      </c>
      <c r="N112" s="73">
        <v>0.6</v>
      </c>
      <c r="O112" s="73">
        <v>0.6</v>
      </c>
      <c r="P112" s="73">
        <v>0.6</v>
      </c>
      <c r="Q112" s="73">
        <v>0.6</v>
      </c>
      <c r="R112" s="73"/>
      <c r="S112" s="73"/>
    </row>
    <row r="113" spans="1:19" x14ac:dyDescent="0.25">
      <c r="A113" t="s">
        <v>17</v>
      </c>
      <c r="B113" t="s">
        <v>23</v>
      </c>
      <c r="C113" t="s">
        <v>24</v>
      </c>
      <c r="E113" s="73">
        <v>0.65</v>
      </c>
      <c r="F113" s="73">
        <v>0.65</v>
      </c>
      <c r="G113" s="73">
        <v>0.65</v>
      </c>
      <c r="H113" s="73">
        <v>0.65</v>
      </c>
      <c r="I113" s="73">
        <v>0.65</v>
      </c>
      <c r="J113" s="73">
        <v>0.65</v>
      </c>
      <c r="K113" s="73">
        <v>0.65</v>
      </c>
      <c r="L113" s="73">
        <v>0.65</v>
      </c>
      <c r="M113" s="73">
        <v>0.6</v>
      </c>
      <c r="N113" s="73">
        <v>0.6</v>
      </c>
      <c r="O113" s="73">
        <v>0.6</v>
      </c>
      <c r="P113" s="73">
        <v>0.6</v>
      </c>
      <c r="Q113" s="73">
        <v>0.6</v>
      </c>
      <c r="R113" s="73"/>
      <c r="S113" s="73"/>
    </row>
    <row r="114" spans="1:19" x14ac:dyDescent="0.25">
      <c r="A114" t="s">
        <v>17</v>
      </c>
      <c r="B114" t="s">
        <v>25</v>
      </c>
      <c r="C114" t="s">
        <v>26</v>
      </c>
      <c r="E114" s="73">
        <v>0.65</v>
      </c>
      <c r="F114" s="73">
        <v>0.65</v>
      </c>
      <c r="G114" s="73">
        <v>0.65</v>
      </c>
      <c r="H114" s="73">
        <v>0.65</v>
      </c>
      <c r="I114" s="73">
        <v>0.65</v>
      </c>
      <c r="J114" s="73">
        <v>0.65</v>
      </c>
      <c r="K114" s="73">
        <v>0.65</v>
      </c>
      <c r="L114" s="73">
        <v>0.65</v>
      </c>
      <c r="M114" s="73">
        <v>0.6</v>
      </c>
      <c r="N114" s="73">
        <v>0.6</v>
      </c>
      <c r="O114" s="73">
        <v>0.6</v>
      </c>
      <c r="P114" s="73">
        <v>0.6</v>
      </c>
      <c r="Q114" s="73">
        <v>0.6</v>
      </c>
      <c r="R114" s="73"/>
      <c r="S114" s="73"/>
    </row>
    <row r="115" spans="1:19" x14ac:dyDescent="0.25">
      <c r="A115" t="s">
        <v>17</v>
      </c>
      <c r="B115" t="s">
        <v>25</v>
      </c>
      <c r="C115" t="s">
        <v>27</v>
      </c>
      <c r="E115" s="73">
        <v>0.65</v>
      </c>
      <c r="F115" s="73">
        <v>0.65</v>
      </c>
      <c r="G115" s="73">
        <v>0.65</v>
      </c>
      <c r="H115" s="73">
        <v>0.65</v>
      </c>
      <c r="I115" s="73">
        <v>0.65</v>
      </c>
      <c r="J115" s="73">
        <v>0.65</v>
      </c>
      <c r="K115" s="73">
        <v>0.65</v>
      </c>
      <c r="L115" s="73">
        <v>0.65</v>
      </c>
      <c r="M115" s="73">
        <v>0.6</v>
      </c>
      <c r="N115" s="73">
        <v>0.6</v>
      </c>
      <c r="O115" s="73">
        <v>0.6</v>
      </c>
      <c r="P115" s="73">
        <v>0.6</v>
      </c>
      <c r="Q115" s="73">
        <v>0.6</v>
      </c>
      <c r="R115" s="73"/>
      <c r="S115" s="73"/>
    </row>
    <row r="116" spans="1:19" x14ac:dyDescent="0.25">
      <c r="A116" t="s">
        <v>17</v>
      </c>
      <c r="B116" t="s">
        <v>28</v>
      </c>
      <c r="C116" t="s">
        <v>29</v>
      </c>
      <c r="E116" s="73">
        <v>0.65</v>
      </c>
      <c r="F116" s="73">
        <v>0.65</v>
      </c>
      <c r="G116" s="73">
        <v>0.65</v>
      </c>
      <c r="H116" s="73">
        <v>0.65</v>
      </c>
      <c r="I116" s="73">
        <v>0.65</v>
      </c>
      <c r="J116" s="73">
        <v>0.65</v>
      </c>
      <c r="K116" s="73">
        <v>0.65</v>
      </c>
      <c r="L116" s="73">
        <v>0.65</v>
      </c>
      <c r="M116" s="73">
        <v>0.6</v>
      </c>
      <c r="N116" s="73">
        <v>0.6</v>
      </c>
      <c r="O116" s="73">
        <v>0.6</v>
      </c>
      <c r="P116" s="73">
        <v>0.6</v>
      </c>
      <c r="Q116" s="73">
        <v>0.6</v>
      </c>
      <c r="R116" s="73"/>
      <c r="S116" s="73"/>
    </row>
    <row r="117" spans="1:19" x14ac:dyDescent="0.25">
      <c r="A117" t="s">
        <v>30</v>
      </c>
      <c r="B117" t="s">
        <v>31</v>
      </c>
      <c r="C117" t="s">
        <v>32</v>
      </c>
      <c r="E117" s="73">
        <v>0.625</v>
      </c>
      <c r="F117" s="73">
        <v>0.625</v>
      </c>
      <c r="G117" s="73">
        <v>0.625</v>
      </c>
      <c r="H117" s="73">
        <v>0.625</v>
      </c>
      <c r="I117" s="73">
        <v>0.625</v>
      </c>
      <c r="J117" s="73">
        <v>0.625</v>
      </c>
      <c r="K117" s="73">
        <v>0.625</v>
      </c>
      <c r="L117" s="73">
        <v>0.625</v>
      </c>
      <c r="M117" s="73">
        <v>0.6</v>
      </c>
      <c r="N117" s="73">
        <v>0.6</v>
      </c>
      <c r="O117" s="73">
        <v>0.6</v>
      </c>
      <c r="P117" s="73">
        <v>0.6</v>
      </c>
      <c r="Q117" s="73">
        <v>0.6</v>
      </c>
      <c r="R117" s="73"/>
      <c r="S117" s="73"/>
    </row>
    <row r="118" spans="1:19" x14ac:dyDescent="0.25">
      <c r="A118" t="s">
        <v>30</v>
      </c>
      <c r="B118" t="s">
        <v>31</v>
      </c>
      <c r="C118" t="s">
        <v>33</v>
      </c>
      <c r="E118" s="73">
        <v>0.625</v>
      </c>
      <c r="F118" s="73">
        <v>0.625</v>
      </c>
      <c r="G118" s="73">
        <v>0.625</v>
      </c>
      <c r="H118" s="73">
        <v>0.625</v>
      </c>
      <c r="I118" s="73">
        <v>0.625</v>
      </c>
      <c r="J118" s="73">
        <v>0.625</v>
      </c>
      <c r="K118" s="73">
        <v>0.625</v>
      </c>
      <c r="L118" s="73">
        <v>0.625</v>
      </c>
      <c r="M118" s="73">
        <v>0.6</v>
      </c>
      <c r="N118" s="73">
        <v>0.6</v>
      </c>
      <c r="O118" s="73">
        <v>0.6</v>
      </c>
      <c r="P118" s="73">
        <v>0.6</v>
      </c>
      <c r="Q118" s="73">
        <v>0.6</v>
      </c>
      <c r="R118" s="73"/>
      <c r="S118" s="73"/>
    </row>
    <row r="119" spans="1:19" x14ac:dyDescent="0.25"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</row>
    <row r="120" spans="1:19" x14ac:dyDescent="0.25">
      <c r="A120" t="s">
        <v>42</v>
      </c>
      <c r="B120" t="s">
        <v>43</v>
      </c>
      <c r="C120" t="s">
        <v>44</v>
      </c>
      <c r="E120" s="73"/>
      <c r="F120" s="73"/>
      <c r="G120" s="73">
        <v>0.65</v>
      </c>
      <c r="H120" s="73">
        <v>0.65</v>
      </c>
      <c r="I120" s="73">
        <v>0.65</v>
      </c>
      <c r="J120" s="73">
        <v>0.65</v>
      </c>
      <c r="K120" s="73">
        <v>0.65</v>
      </c>
      <c r="L120" s="73">
        <v>0.65</v>
      </c>
      <c r="M120" s="73">
        <v>0.65</v>
      </c>
      <c r="N120" s="73">
        <v>0.65</v>
      </c>
      <c r="O120" s="73">
        <v>0.6</v>
      </c>
      <c r="P120" s="73">
        <v>0.6</v>
      </c>
      <c r="Q120" s="73">
        <v>0.6</v>
      </c>
      <c r="R120" s="73">
        <v>0.6</v>
      </c>
      <c r="S120" s="73">
        <v>0.6</v>
      </c>
    </row>
    <row r="121" spans="1:19" x14ac:dyDescent="0.25">
      <c r="A121" t="s">
        <v>42</v>
      </c>
      <c r="B121" t="s">
        <v>45</v>
      </c>
      <c r="C121" t="s">
        <v>46</v>
      </c>
      <c r="E121" s="73"/>
      <c r="F121" s="73"/>
      <c r="G121" s="73">
        <v>0.65</v>
      </c>
      <c r="H121" s="73">
        <v>0.65</v>
      </c>
      <c r="I121" s="73">
        <v>0.65</v>
      </c>
      <c r="J121" s="73">
        <v>0.65</v>
      </c>
      <c r="K121" s="73">
        <v>0.65</v>
      </c>
      <c r="L121" s="73">
        <v>0.65</v>
      </c>
      <c r="M121" s="73">
        <v>0.65</v>
      </c>
      <c r="N121" s="73">
        <v>0.65</v>
      </c>
      <c r="O121" s="73">
        <v>0.6</v>
      </c>
      <c r="P121" s="73">
        <v>0.6</v>
      </c>
      <c r="Q121" s="73">
        <v>0.6</v>
      </c>
      <c r="R121" s="73">
        <v>0.6</v>
      </c>
      <c r="S121" s="73">
        <v>0.6</v>
      </c>
    </row>
    <row r="122" spans="1:19" x14ac:dyDescent="0.25">
      <c r="A122" t="s">
        <v>42</v>
      </c>
      <c r="B122" t="s">
        <v>45</v>
      </c>
      <c r="C122" t="s">
        <v>47</v>
      </c>
      <c r="E122" s="73"/>
      <c r="F122" s="73"/>
      <c r="G122" s="73">
        <v>0.65</v>
      </c>
      <c r="H122" s="73">
        <v>0.65</v>
      </c>
      <c r="I122" s="73">
        <v>0.65</v>
      </c>
      <c r="J122" s="73">
        <v>0.65</v>
      </c>
      <c r="K122" s="73">
        <v>0.65</v>
      </c>
      <c r="L122" s="73">
        <v>0.65</v>
      </c>
      <c r="M122" s="73">
        <v>0.65</v>
      </c>
      <c r="N122" s="73">
        <v>0.65</v>
      </c>
      <c r="O122" s="73">
        <v>0.6</v>
      </c>
      <c r="P122" s="73">
        <v>0.6</v>
      </c>
      <c r="Q122" s="73">
        <v>0.6</v>
      </c>
      <c r="R122" s="73">
        <v>0.6</v>
      </c>
      <c r="S122" s="73">
        <v>0.6</v>
      </c>
    </row>
    <row r="123" spans="1:19" x14ac:dyDescent="0.25">
      <c r="A123" t="s">
        <v>42</v>
      </c>
      <c r="B123" t="s">
        <v>13</v>
      </c>
      <c r="C123" t="s">
        <v>48</v>
      </c>
      <c r="E123" s="73"/>
      <c r="F123" s="73"/>
      <c r="G123" s="73">
        <v>0.65</v>
      </c>
      <c r="H123" s="73">
        <v>0.65</v>
      </c>
      <c r="I123" s="73">
        <v>0.65</v>
      </c>
      <c r="J123" s="73">
        <v>0.65</v>
      </c>
      <c r="K123" s="73">
        <v>0.65</v>
      </c>
      <c r="L123" s="73">
        <v>0.65</v>
      </c>
      <c r="M123" s="73">
        <v>0.65</v>
      </c>
      <c r="N123" s="73">
        <v>0.65</v>
      </c>
      <c r="O123" s="73">
        <v>0.6</v>
      </c>
      <c r="P123" s="73">
        <v>0.6</v>
      </c>
      <c r="Q123" s="73">
        <v>0.6</v>
      </c>
      <c r="R123" s="73">
        <v>0.6</v>
      </c>
      <c r="S123" s="73">
        <v>0.6</v>
      </c>
    </row>
    <row r="124" spans="1:19" x14ac:dyDescent="0.25">
      <c r="A124" t="s">
        <v>42</v>
      </c>
      <c r="B124" t="s">
        <v>13</v>
      </c>
      <c r="C124" t="s">
        <v>49</v>
      </c>
      <c r="E124" s="73"/>
      <c r="F124" s="73"/>
      <c r="G124" s="73">
        <v>0.65</v>
      </c>
      <c r="H124" s="73">
        <v>0.65</v>
      </c>
      <c r="I124" s="73">
        <v>0.65</v>
      </c>
      <c r="J124" s="73">
        <v>0.65</v>
      </c>
      <c r="K124" s="73">
        <v>0.65</v>
      </c>
      <c r="L124" s="73">
        <v>0.65</v>
      </c>
      <c r="M124" s="73">
        <v>0.65</v>
      </c>
      <c r="N124" s="73">
        <v>0.65</v>
      </c>
      <c r="O124" s="73">
        <v>0.6</v>
      </c>
      <c r="P124" s="73">
        <v>0.6</v>
      </c>
      <c r="Q124" s="73">
        <v>0.6</v>
      </c>
      <c r="R124" s="73">
        <v>0.6</v>
      </c>
      <c r="S124" s="73">
        <v>0.6</v>
      </c>
    </row>
    <row r="125" spans="1:19" x14ac:dyDescent="0.25">
      <c r="A125" t="s">
        <v>42</v>
      </c>
      <c r="B125" t="s">
        <v>15</v>
      </c>
      <c r="C125" t="s">
        <v>50</v>
      </c>
      <c r="E125" s="73"/>
      <c r="F125" s="73"/>
      <c r="G125" s="73">
        <v>0.65</v>
      </c>
      <c r="H125" s="73">
        <v>0.65</v>
      </c>
      <c r="I125" s="73">
        <v>0.65</v>
      </c>
      <c r="J125" s="73">
        <v>0.65</v>
      </c>
      <c r="K125" s="73">
        <v>0.65</v>
      </c>
      <c r="L125" s="73">
        <v>0.65</v>
      </c>
      <c r="M125" s="73">
        <v>0.65</v>
      </c>
      <c r="N125" s="73">
        <v>0.65</v>
      </c>
      <c r="O125" s="73">
        <v>0.6</v>
      </c>
      <c r="P125" s="73">
        <v>0.6</v>
      </c>
      <c r="Q125" s="73">
        <v>0.6</v>
      </c>
      <c r="R125" s="73">
        <v>0.6</v>
      </c>
      <c r="S125" s="73">
        <v>0.6</v>
      </c>
    </row>
    <row r="126" spans="1:19" x14ac:dyDescent="0.25">
      <c r="A126" t="s">
        <v>42</v>
      </c>
      <c r="B126" t="s">
        <v>15</v>
      </c>
      <c r="C126" t="s">
        <v>51</v>
      </c>
      <c r="E126" s="73"/>
      <c r="F126" s="73"/>
      <c r="G126" s="73">
        <v>0.65</v>
      </c>
      <c r="H126" s="73">
        <v>0.65</v>
      </c>
      <c r="I126" s="73">
        <v>0.65</v>
      </c>
      <c r="J126" s="73">
        <v>0.65</v>
      </c>
      <c r="K126" s="73">
        <v>0.65</v>
      </c>
      <c r="L126" s="73">
        <v>0.65</v>
      </c>
      <c r="M126" s="73">
        <v>0.65</v>
      </c>
      <c r="N126" s="73">
        <v>0.65</v>
      </c>
      <c r="O126" s="73">
        <v>0.6</v>
      </c>
      <c r="P126" s="73">
        <v>0.6</v>
      </c>
      <c r="Q126" s="73">
        <v>0.6</v>
      </c>
      <c r="R126" s="73">
        <v>0.6</v>
      </c>
      <c r="S126" s="73">
        <v>0.6</v>
      </c>
    </row>
    <row r="127" spans="1:19" x14ac:dyDescent="0.25">
      <c r="A127" t="s">
        <v>42</v>
      </c>
      <c r="B127" t="s">
        <v>52</v>
      </c>
      <c r="C127" t="s">
        <v>53</v>
      </c>
      <c r="E127" s="73"/>
      <c r="F127" s="73"/>
      <c r="G127" s="73">
        <v>0.65</v>
      </c>
      <c r="H127" s="73">
        <v>0.65</v>
      </c>
      <c r="I127" s="73">
        <v>0.65</v>
      </c>
      <c r="J127" s="73">
        <v>0.65</v>
      </c>
      <c r="K127" s="73">
        <v>0.65</v>
      </c>
      <c r="L127" s="73">
        <v>0.65</v>
      </c>
      <c r="M127" s="73">
        <v>0.65</v>
      </c>
      <c r="N127" s="73">
        <v>0.65</v>
      </c>
      <c r="O127" s="73">
        <v>0.6</v>
      </c>
      <c r="P127" s="73">
        <v>0.6</v>
      </c>
      <c r="Q127" s="73">
        <v>0.6</v>
      </c>
      <c r="R127" s="73">
        <v>0.6</v>
      </c>
      <c r="S127" s="73">
        <v>0.6</v>
      </c>
    </row>
    <row r="128" spans="1:19" x14ac:dyDescent="0.25">
      <c r="A128" t="s">
        <v>42</v>
      </c>
      <c r="B128" t="s">
        <v>52</v>
      </c>
      <c r="C128" t="s">
        <v>54</v>
      </c>
      <c r="E128" s="73"/>
      <c r="F128" s="73"/>
      <c r="G128" s="73">
        <v>0.65</v>
      </c>
      <c r="H128" s="73">
        <v>0.65</v>
      </c>
      <c r="I128" s="73">
        <v>0.65</v>
      </c>
      <c r="J128" s="73">
        <v>0.65</v>
      </c>
      <c r="K128" s="73">
        <v>0.65</v>
      </c>
      <c r="L128" s="73">
        <v>0.65</v>
      </c>
      <c r="M128" s="73">
        <v>0.65</v>
      </c>
      <c r="N128" s="73">
        <v>0.65</v>
      </c>
      <c r="O128" s="73">
        <v>0.6</v>
      </c>
      <c r="P128" s="73">
        <v>0.6</v>
      </c>
      <c r="Q128" s="73">
        <v>0.6</v>
      </c>
      <c r="R128" s="73">
        <v>0.6</v>
      </c>
      <c r="S128" s="73">
        <v>0.6</v>
      </c>
    </row>
    <row r="129" spans="1:19" x14ac:dyDescent="0.25">
      <c r="A129" t="s">
        <v>42</v>
      </c>
      <c r="B129" t="s">
        <v>52</v>
      </c>
      <c r="C129" t="s">
        <v>55</v>
      </c>
      <c r="E129" s="73"/>
      <c r="F129" s="73"/>
      <c r="G129" s="73">
        <v>0.65</v>
      </c>
      <c r="H129" s="73">
        <v>0.65</v>
      </c>
      <c r="I129" s="73">
        <v>0.65</v>
      </c>
      <c r="J129" s="73">
        <v>0.65</v>
      </c>
      <c r="K129" s="73">
        <v>0.65</v>
      </c>
      <c r="L129" s="73">
        <v>0.65</v>
      </c>
      <c r="M129" s="73">
        <v>0.65</v>
      </c>
      <c r="N129" s="73">
        <v>0.65</v>
      </c>
      <c r="O129" s="73">
        <v>0.6</v>
      </c>
      <c r="P129" s="73">
        <v>0.6</v>
      </c>
      <c r="Q129" s="73">
        <v>0.6</v>
      </c>
      <c r="R129" s="73">
        <v>0.6</v>
      </c>
      <c r="S129" s="73">
        <v>0.6</v>
      </c>
    </row>
    <row r="130" spans="1:19" x14ac:dyDescent="0.25">
      <c r="A130" t="s">
        <v>42</v>
      </c>
      <c r="B130" t="s">
        <v>56</v>
      </c>
      <c r="C130" t="s">
        <v>57</v>
      </c>
      <c r="E130" s="73"/>
      <c r="F130" s="73"/>
      <c r="G130" s="73">
        <v>0.65</v>
      </c>
      <c r="H130" s="73">
        <v>0.65</v>
      </c>
      <c r="I130" s="73">
        <v>0.65</v>
      </c>
      <c r="J130" s="73">
        <v>0.65</v>
      </c>
      <c r="K130" s="73">
        <v>0.65</v>
      </c>
      <c r="L130" s="73">
        <v>0.65</v>
      </c>
      <c r="M130" s="73">
        <v>0.65</v>
      </c>
      <c r="N130" s="73">
        <v>0.65</v>
      </c>
      <c r="O130" s="73">
        <v>0.6</v>
      </c>
      <c r="P130" s="73">
        <v>0.6</v>
      </c>
      <c r="Q130" s="73">
        <v>0.6</v>
      </c>
      <c r="R130" s="73">
        <v>0.6</v>
      </c>
      <c r="S130" s="73">
        <v>0.6</v>
      </c>
    </row>
    <row r="131" spans="1:19" x14ac:dyDescent="0.25">
      <c r="A131" t="s">
        <v>42</v>
      </c>
      <c r="B131" t="s">
        <v>56</v>
      </c>
      <c r="C131" t="s">
        <v>58</v>
      </c>
      <c r="E131" s="73"/>
      <c r="F131" s="73"/>
      <c r="G131" s="73">
        <v>0.65</v>
      </c>
      <c r="H131" s="73">
        <v>0.65</v>
      </c>
      <c r="I131" s="73">
        <v>0.65</v>
      </c>
      <c r="J131" s="73">
        <v>0.65</v>
      </c>
      <c r="K131" s="73">
        <v>0.65</v>
      </c>
      <c r="L131" s="73">
        <v>0.65</v>
      </c>
      <c r="M131" s="73">
        <v>0.65</v>
      </c>
      <c r="N131" s="73">
        <v>0.65</v>
      </c>
      <c r="O131" s="73">
        <v>0.6</v>
      </c>
      <c r="P131" s="73">
        <v>0.6</v>
      </c>
      <c r="Q131" s="73">
        <v>0.6</v>
      </c>
      <c r="R131" s="73">
        <v>0.6</v>
      </c>
      <c r="S131" s="73">
        <v>0.6</v>
      </c>
    </row>
    <row r="132" spans="1:19" x14ac:dyDescent="0.25">
      <c r="A132" t="s">
        <v>42</v>
      </c>
      <c r="B132" t="s">
        <v>56</v>
      </c>
      <c r="C132" t="s">
        <v>59</v>
      </c>
      <c r="E132" s="73"/>
      <c r="F132" s="73"/>
      <c r="G132" s="73">
        <v>0.65</v>
      </c>
      <c r="H132" s="73">
        <v>0.65</v>
      </c>
      <c r="I132" s="73">
        <v>0.65</v>
      </c>
      <c r="J132" s="73">
        <v>0.65</v>
      </c>
      <c r="K132" s="73">
        <v>0.65</v>
      </c>
      <c r="L132" s="73">
        <v>0.65</v>
      </c>
      <c r="M132" s="73">
        <v>0.65</v>
      </c>
      <c r="N132" s="73">
        <v>0.65</v>
      </c>
      <c r="O132" s="73">
        <v>0.6</v>
      </c>
      <c r="P132" s="73">
        <v>0.6</v>
      </c>
      <c r="Q132" s="73">
        <v>0.6</v>
      </c>
      <c r="R132" s="73">
        <v>0.6</v>
      </c>
      <c r="S132" s="73">
        <v>0.6</v>
      </c>
    </row>
    <row r="133" spans="1:19" x14ac:dyDescent="0.25">
      <c r="A133" t="s">
        <v>42</v>
      </c>
      <c r="B133" t="s">
        <v>56</v>
      </c>
      <c r="C133" t="s">
        <v>60</v>
      </c>
      <c r="E133" s="73"/>
      <c r="F133" s="73"/>
      <c r="G133" s="73">
        <v>0.65</v>
      </c>
      <c r="H133" s="73">
        <v>0.65</v>
      </c>
      <c r="I133" s="73">
        <v>0.65</v>
      </c>
      <c r="J133" s="73">
        <v>0.65</v>
      </c>
      <c r="K133" s="73">
        <v>0.65</v>
      </c>
      <c r="L133" s="73">
        <v>0.65</v>
      </c>
      <c r="M133" s="73">
        <v>0.65</v>
      </c>
      <c r="N133" s="73">
        <v>0.65</v>
      </c>
      <c r="O133" s="73">
        <v>0.6</v>
      </c>
      <c r="P133" s="73">
        <v>0.6</v>
      </c>
      <c r="Q133" s="73">
        <v>0.6</v>
      </c>
      <c r="R133" s="73">
        <v>0.6</v>
      </c>
      <c r="S133" s="73">
        <v>0.6</v>
      </c>
    </row>
    <row r="136" spans="1:19" x14ac:dyDescent="0.25">
      <c r="A136" s="16" t="s">
        <v>82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</row>
    <row r="139" spans="1:19" x14ac:dyDescent="0.25">
      <c r="A139" s="2" t="s">
        <v>8</v>
      </c>
      <c r="B139" s="2" t="s">
        <v>9</v>
      </c>
      <c r="C139" s="2" t="s">
        <v>10</v>
      </c>
      <c r="D139" s="2">
        <v>2013</v>
      </c>
      <c r="E139" s="2">
        <v>2014</v>
      </c>
      <c r="F139" s="2">
        <v>2015</v>
      </c>
      <c r="G139" s="2">
        <v>2016</v>
      </c>
      <c r="H139" s="2">
        <v>2017</v>
      </c>
      <c r="I139" s="2">
        <v>2018</v>
      </c>
      <c r="J139" s="2">
        <v>2019</v>
      </c>
      <c r="K139" s="2">
        <v>2020</v>
      </c>
      <c r="L139" s="2">
        <v>2021</v>
      </c>
      <c r="M139" s="2">
        <v>2022</v>
      </c>
      <c r="N139" s="2">
        <v>2023</v>
      </c>
      <c r="O139" s="2">
        <v>2024</v>
      </c>
      <c r="P139" s="2">
        <v>2025</v>
      </c>
      <c r="Q139" s="2">
        <v>2026</v>
      </c>
      <c r="R139" s="2">
        <v>2027</v>
      </c>
      <c r="S139" s="2">
        <v>2028</v>
      </c>
    </row>
    <row r="140" spans="1:19" x14ac:dyDescent="0.25">
      <c r="A140" t="s">
        <v>11</v>
      </c>
      <c r="B140" t="s">
        <v>12</v>
      </c>
      <c r="C140" t="s">
        <v>12</v>
      </c>
      <c r="E140" s="17">
        <v>0.25</v>
      </c>
      <c r="F140" s="17">
        <v>0.25</v>
      </c>
      <c r="G140" s="17">
        <v>0.25</v>
      </c>
      <c r="H140" s="17">
        <v>0.25</v>
      </c>
      <c r="I140" s="17">
        <v>0.25</v>
      </c>
      <c r="J140" s="17">
        <v>0.25</v>
      </c>
      <c r="K140" s="17">
        <v>0.25</v>
      </c>
      <c r="L140" s="17">
        <v>0.25</v>
      </c>
      <c r="M140" s="17">
        <v>0.3</v>
      </c>
      <c r="N140" s="17">
        <v>0.3</v>
      </c>
      <c r="O140" s="17">
        <v>0.3</v>
      </c>
      <c r="P140" s="17">
        <v>0.3</v>
      </c>
      <c r="Q140" s="17">
        <v>0.3</v>
      </c>
      <c r="R140" s="17"/>
      <c r="S140" s="17"/>
    </row>
    <row r="141" spans="1:19" x14ac:dyDescent="0.25">
      <c r="A141" t="s">
        <v>11</v>
      </c>
      <c r="B141" t="s">
        <v>13</v>
      </c>
      <c r="C141" t="s">
        <v>14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0.3</v>
      </c>
      <c r="N141" s="17">
        <v>0.3</v>
      </c>
      <c r="O141" s="17">
        <v>0.3</v>
      </c>
      <c r="P141" s="17">
        <v>0.3</v>
      </c>
      <c r="Q141" s="17">
        <v>0.3</v>
      </c>
      <c r="R141" s="17"/>
      <c r="S141" s="17"/>
    </row>
    <row r="142" spans="1:19" x14ac:dyDescent="0.25">
      <c r="A142" t="s">
        <v>11</v>
      </c>
      <c r="B142" t="s">
        <v>15</v>
      </c>
      <c r="C142" t="s">
        <v>16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0.3</v>
      </c>
      <c r="N142" s="17">
        <v>0.3</v>
      </c>
      <c r="O142" s="17">
        <v>0.3</v>
      </c>
      <c r="P142" s="17">
        <v>0.3</v>
      </c>
      <c r="Q142" s="17">
        <v>0.3</v>
      </c>
      <c r="R142" s="17"/>
      <c r="S142" s="17"/>
    </row>
    <row r="143" spans="1:19" x14ac:dyDescent="0.25">
      <c r="A143" t="s">
        <v>17</v>
      </c>
      <c r="B143" t="s">
        <v>18</v>
      </c>
      <c r="C143" t="s">
        <v>19</v>
      </c>
      <c r="E143" s="17">
        <v>0.25</v>
      </c>
      <c r="F143" s="17">
        <v>0.25</v>
      </c>
      <c r="G143" s="17">
        <v>0.25</v>
      </c>
      <c r="H143" s="17">
        <v>0.25</v>
      </c>
      <c r="I143" s="17">
        <v>0.25</v>
      </c>
      <c r="J143" s="17">
        <v>0.25</v>
      </c>
      <c r="K143" s="17">
        <v>0.25</v>
      </c>
      <c r="L143" s="17">
        <v>0.25</v>
      </c>
      <c r="M143" s="17">
        <v>0.3</v>
      </c>
      <c r="N143" s="17">
        <v>0.3</v>
      </c>
      <c r="O143" s="17">
        <v>0.3</v>
      </c>
      <c r="P143" s="17">
        <v>0.3</v>
      </c>
      <c r="Q143" s="17">
        <v>0.3</v>
      </c>
      <c r="R143" s="17"/>
      <c r="S143" s="17"/>
    </row>
    <row r="144" spans="1:19" x14ac:dyDescent="0.25">
      <c r="A144" t="s">
        <v>17</v>
      </c>
      <c r="B144" t="s">
        <v>18</v>
      </c>
      <c r="C144" t="s">
        <v>20</v>
      </c>
      <c r="E144" s="17">
        <v>0.25</v>
      </c>
      <c r="F144" s="17">
        <v>0.25</v>
      </c>
      <c r="G144" s="17">
        <v>0.25</v>
      </c>
      <c r="H144" s="17">
        <v>0.25</v>
      </c>
      <c r="I144" s="17">
        <v>0.25</v>
      </c>
      <c r="J144" s="17">
        <v>0.25</v>
      </c>
      <c r="K144" s="17">
        <v>0.25</v>
      </c>
      <c r="L144" s="17">
        <v>0.25</v>
      </c>
      <c r="M144" s="17">
        <v>0.3</v>
      </c>
      <c r="N144" s="17">
        <v>0.3</v>
      </c>
      <c r="O144" s="17">
        <v>0.3</v>
      </c>
      <c r="P144" s="17">
        <v>0.3</v>
      </c>
      <c r="Q144" s="17">
        <v>0.3</v>
      </c>
      <c r="R144" s="17"/>
      <c r="S144" s="17"/>
    </row>
    <row r="145" spans="1:19" x14ac:dyDescent="0.25">
      <c r="A145" t="s">
        <v>17</v>
      </c>
      <c r="B145" t="s">
        <v>18</v>
      </c>
      <c r="C145" t="s">
        <v>21</v>
      </c>
      <c r="E145" s="17">
        <v>0.25</v>
      </c>
      <c r="F145" s="17">
        <v>0.25</v>
      </c>
      <c r="G145" s="17">
        <v>0.25</v>
      </c>
      <c r="H145" s="17">
        <v>0.25</v>
      </c>
      <c r="I145" s="17">
        <v>0.25</v>
      </c>
      <c r="J145" s="17">
        <v>0.25</v>
      </c>
      <c r="K145" s="17">
        <v>0.25</v>
      </c>
      <c r="L145" s="17">
        <v>0.25</v>
      </c>
      <c r="M145" s="17">
        <v>0.3</v>
      </c>
      <c r="N145" s="17">
        <v>0.3</v>
      </c>
      <c r="O145" s="17">
        <v>0.3</v>
      </c>
      <c r="P145" s="17">
        <v>0.3</v>
      </c>
      <c r="Q145" s="17">
        <v>0.3</v>
      </c>
      <c r="R145" s="17"/>
      <c r="S145" s="17"/>
    </row>
    <row r="146" spans="1:19" x14ac:dyDescent="0.25">
      <c r="A146" t="s">
        <v>17</v>
      </c>
      <c r="B146" t="s">
        <v>18</v>
      </c>
      <c r="C146" t="s">
        <v>22</v>
      </c>
      <c r="E146" s="17">
        <v>0.25</v>
      </c>
      <c r="F146" s="17">
        <v>0.25</v>
      </c>
      <c r="G146" s="17">
        <v>0.25</v>
      </c>
      <c r="H146" s="17">
        <v>0.25</v>
      </c>
      <c r="I146" s="17">
        <v>0.25</v>
      </c>
      <c r="J146" s="17">
        <v>0.25</v>
      </c>
      <c r="K146" s="17">
        <v>0.25</v>
      </c>
      <c r="L146" s="17">
        <v>0.25</v>
      </c>
      <c r="M146" s="17">
        <v>0.3</v>
      </c>
      <c r="N146" s="17">
        <v>0.3</v>
      </c>
      <c r="O146" s="17">
        <v>0.3</v>
      </c>
      <c r="P146" s="17">
        <v>0.3</v>
      </c>
      <c r="Q146" s="17">
        <v>0.3</v>
      </c>
      <c r="R146" s="17"/>
      <c r="S146" s="17"/>
    </row>
    <row r="147" spans="1:19" x14ac:dyDescent="0.25">
      <c r="A147" t="s">
        <v>17</v>
      </c>
      <c r="B147" t="s">
        <v>23</v>
      </c>
      <c r="C147" t="s">
        <v>24</v>
      </c>
      <c r="E147" s="17">
        <v>0.25</v>
      </c>
      <c r="F147" s="17">
        <v>0.25</v>
      </c>
      <c r="G147" s="17">
        <v>0.25</v>
      </c>
      <c r="H147" s="17">
        <v>0.25</v>
      </c>
      <c r="I147" s="17">
        <v>0.25</v>
      </c>
      <c r="J147" s="17">
        <v>0.25</v>
      </c>
      <c r="K147" s="17">
        <v>0.25</v>
      </c>
      <c r="L147" s="17">
        <v>0.25</v>
      </c>
      <c r="M147" s="17">
        <v>0.3</v>
      </c>
      <c r="N147" s="17">
        <v>0.3</v>
      </c>
      <c r="O147" s="17">
        <v>0.3</v>
      </c>
      <c r="P147" s="17">
        <v>0.3</v>
      </c>
      <c r="Q147" s="17">
        <v>0.3</v>
      </c>
      <c r="R147" s="17"/>
      <c r="S147" s="17"/>
    </row>
    <row r="148" spans="1:19" x14ac:dyDescent="0.25">
      <c r="A148" t="s">
        <v>17</v>
      </c>
      <c r="B148" t="s">
        <v>25</v>
      </c>
      <c r="C148" t="s">
        <v>26</v>
      </c>
      <c r="E148" s="17">
        <v>0.25</v>
      </c>
      <c r="F148" s="17">
        <v>0.25</v>
      </c>
      <c r="G148" s="17">
        <v>0.25</v>
      </c>
      <c r="H148" s="17">
        <v>0.25</v>
      </c>
      <c r="I148" s="17">
        <v>0.25</v>
      </c>
      <c r="J148" s="17">
        <v>0.25</v>
      </c>
      <c r="K148" s="17">
        <v>0.25</v>
      </c>
      <c r="L148" s="17">
        <v>0.25</v>
      </c>
      <c r="M148" s="17">
        <v>0.3</v>
      </c>
      <c r="N148" s="17">
        <v>0.3</v>
      </c>
      <c r="O148" s="17">
        <v>0.3</v>
      </c>
      <c r="P148" s="17">
        <v>0.3</v>
      </c>
      <c r="Q148" s="17">
        <v>0.3</v>
      </c>
      <c r="R148" s="17"/>
      <c r="S148" s="17"/>
    </row>
    <row r="149" spans="1:19" x14ac:dyDescent="0.25">
      <c r="A149" t="s">
        <v>17</v>
      </c>
      <c r="B149" t="s">
        <v>25</v>
      </c>
      <c r="C149" t="s">
        <v>27</v>
      </c>
      <c r="E149" s="17">
        <v>0.25</v>
      </c>
      <c r="F149" s="17">
        <v>0.25</v>
      </c>
      <c r="G149" s="17">
        <v>0.25</v>
      </c>
      <c r="H149" s="17">
        <v>0.25</v>
      </c>
      <c r="I149" s="17">
        <v>0.25</v>
      </c>
      <c r="J149" s="17">
        <v>0.25</v>
      </c>
      <c r="K149" s="17">
        <v>0.25</v>
      </c>
      <c r="L149" s="17">
        <v>0.25</v>
      </c>
      <c r="M149" s="17">
        <v>0.3</v>
      </c>
      <c r="N149" s="17">
        <v>0.3</v>
      </c>
      <c r="O149" s="17">
        <v>0.3</v>
      </c>
      <c r="P149" s="17">
        <v>0.3</v>
      </c>
      <c r="Q149" s="17">
        <v>0.3</v>
      </c>
      <c r="R149" s="17"/>
      <c r="S149" s="17"/>
    </row>
    <row r="150" spans="1:19" x14ac:dyDescent="0.25">
      <c r="A150" t="s">
        <v>17</v>
      </c>
      <c r="B150" t="s">
        <v>28</v>
      </c>
      <c r="C150" t="s">
        <v>29</v>
      </c>
      <c r="E150" s="17">
        <v>0.25</v>
      </c>
      <c r="F150" s="17">
        <v>0.25</v>
      </c>
      <c r="G150" s="17">
        <v>0.25</v>
      </c>
      <c r="H150" s="17">
        <v>0.25</v>
      </c>
      <c r="I150" s="17">
        <v>0.25</v>
      </c>
      <c r="J150" s="17">
        <v>0.25</v>
      </c>
      <c r="K150" s="17">
        <v>0.25</v>
      </c>
      <c r="L150" s="17">
        <v>0.25</v>
      </c>
      <c r="M150" s="17">
        <v>0.3</v>
      </c>
      <c r="N150" s="17">
        <v>0.3</v>
      </c>
      <c r="O150" s="17">
        <v>0.3</v>
      </c>
      <c r="P150" s="17">
        <v>0.3</v>
      </c>
      <c r="Q150" s="17">
        <v>0.3</v>
      </c>
      <c r="R150" s="17"/>
      <c r="S150" s="17"/>
    </row>
    <row r="151" spans="1:19" x14ac:dyDescent="0.25">
      <c r="A151" t="s">
        <v>30</v>
      </c>
      <c r="B151" t="s">
        <v>31</v>
      </c>
      <c r="C151" t="s">
        <v>32</v>
      </c>
      <c r="E151" s="17">
        <v>0.25</v>
      </c>
      <c r="F151" s="17">
        <v>0.25</v>
      </c>
      <c r="G151" s="17">
        <v>0.25</v>
      </c>
      <c r="H151" s="17">
        <v>0.25</v>
      </c>
      <c r="I151" s="17">
        <v>0.25</v>
      </c>
      <c r="J151" s="17">
        <v>0.25</v>
      </c>
      <c r="K151" s="17">
        <v>0.25</v>
      </c>
      <c r="L151" s="17">
        <v>0.25</v>
      </c>
      <c r="M151" s="17">
        <v>0.3</v>
      </c>
      <c r="N151" s="17">
        <v>0.3</v>
      </c>
      <c r="O151" s="17">
        <v>0.3</v>
      </c>
      <c r="P151" s="17">
        <v>0.3</v>
      </c>
      <c r="Q151" s="17">
        <v>0.3</v>
      </c>
      <c r="R151" s="17"/>
      <c r="S151" s="17"/>
    </row>
    <row r="152" spans="1:19" x14ac:dyDescent="0.25">
      <c r="A152" t="s">
        <v>30</v>
      </c>
      <c r="B152" t="s">
        <v>31</v>
      </c>
      <c r="C152" t="s">
        <v>33</v>
      </c>
      <c r="E152" s="17">
        <v>0.25</v>
      </c>
      <c r="F152" s="17">
        <v>0.25</v>
      </c>
      <c r="G152" s="17">
        <v>0.25</v>
      </c>
      <c r="H152" s="17">
        <v>0.25</v>
      </c>
      <c r="I152" s="17">
        <v>0.25</v>
      </c>
      <c r="J152" s="17">
        <v>0.25</v>
      </c>
      <c r="K152" s="17">
        <v>0.25</v>
      </c>
      <c r="L152" s="17">
        <v>0.25</v>
      </c>
      <c r="M152" s="17">
        <v>0.3</v>
      </c>
      <c r="N152" s="17">
        <v>0.3</v>
      </c>
      <c r="O152" s="17">
        <v>0.3</v>
      </c>
      <c r="P152" s="17">
        <v>0.3</v>
      </c>
      <c r="Q152" s="17">
        <v>0.3</v>
      </c>
      <c r="R152" s="17"/>
      <c r="S152" s="17"/>
    </row>
    <row r="154" spans="1:19" x14ac:dyDescent="0.25">
      <c r="A154" t="s">
        <v>42</v>
      </c>
      <c r="B154" t="s">
        <v>43</v>
      </c>
      <c r="C154" t="s">
        <v>44</v>
      </c>
      <c r="E154" s="17"/>
      <c r="F154" s="17"/>
      <c r="G154" s="17">
        <v>0.25</v>
      </c>
      <c r="H154" s="17">
        <v>0.25</v>
      </c>
      <c r="I154" s="17">
        <v>0.25</v>
      </c>
      <c r="J154" s="17">
        <v>0.25</v>
      </c>
      <c r="K154" s="17">
        <v>0.25</v>
      </c>
      <c r="L154" s="17">
        <v>0.25</v>
      </c>
      <c r="M154" s="17">
        <v>0.25</v>
      </c>
      <c r="N154" s="17">
        <v>0.25</v>
      </c>
      <c r="O154" s="17">
        <v>0.25</v>
      </c>
      <c r="P154" s="17">
        <v>0.25</v>
      </c>
      <c r="Q154" s="17">
        <v>0.25</v>
      </c>
      <c r="R154" s="17">
        <v>0.25</v>
      </c>
      <c r="S154" s="17">
        <v>0.25</v>
      </c>
    </row>
    <row r="155" spans="1:19" x14ac:dyDescent="0.25">
      <c r="A155" t="s">
        <v>42</v>
      </c>
      <c r="B155" t="s">
        <v>45</v>
      </c>
      <c r="C155" t="s">
        <v>46</v>
      </c>
      <c r="E155" s="17"/>
      <c r="F155" s="17"/>
      <c r="G155" s="17">
        <v>0.25</v>
      </c>
      <c r="H155" s="17">
        <v>0.25</v>
      </c>
      <c r="I155" s="17">
        <v>0.25</v>
      </c>
      <c r="J155" s="17">
        <v>0.25</v>
      </c>
      <c r="K155" s="17">
        <v>0.25</v>
      </c>
      <c r="L155" s="17">
        <v>0.25</v>
      </c>
      <c r="M155" s="17">
        <v>0.25</v>
      </c>
      <c r="N155" s="17">
        <v>0.25</v>
      </c>
      <c r="O155" s="17">
        <v>0.25</v>
      </c>
      <c r="P155" s="17">
        <v>0.25</v>
      </c>
      <c r="Q155" s="17">
        <v>0.25</v>
      </c>
      <c r="R155" s="17">
        <v>0.25</v>
      </c>
      <c r="S155" s="17">
        <v>0.25</v>
      </c>
    </row>
    <row r="156" spans="1:19" x14ac:dyDescent="0.25">
      <c r="A156" t="s">
        <v>42</v>
      </c>
      <c r="B156" t="s">
        <v>45</v>
      </c>
      <c r="C156" t="s">
        <v>47</v>
      </c>
      <c r="E156" s="17"/>
      <c r="F156" s="17"/>
      <c r="G156" s="17">
        <v>0.25</v>
      </c>
      <c r="H156" s="17">
        <v>0.25</v>
      </c>
      <c r="I156" s="17">
        <v>0.25</v>
      </c>
      <c r="J156" s="17">
        <v>0.25</v>
      </c>
      <c r="K156" s="17">
        <v>0.25</v>
      </c>
      <c r="L156" s="17">
        <v>0.25</v>
      </c>
      <c r="M156" s="17">
        <v>0.25</v>
      </c>
      <c r="N156" s="17">
        <v>0.25</v>
      </c>
      <c r="O156" s="17">
        <v>0.25</v>
      </c>
      <c r="P156" s="17">
        <v>0.25</v>
      </c>
      <c r="Q156" s="17">
        <v>0.25</v>
      </c>
      <c r="R156" s="17">
        <v>0.25</v>
      </c>
      <c r="S156" s="17">
        <v>0.25</v>
      </c>
    </row>
    <row r="157" spans="1:19" x14ac:dyDescent="0.25">
      <c r="A157" t="s">
        <v>42</v>
      </c>
      <c r="B157" t="s">
        <v>13</v>
      </c>
      <c r="C157" t="s">
        <v>48</v>
      </c>
      <c r="E157" s="17"/>
      <c r="F157" s="17"/>
      <c r="G157" s="17">
        <v>0.25</v>
      </c>
      <c r="H157" s="17">
        <v>0.25</v>
      </c>
      <c r="I157" s="17">
        <v>0.25</v>
      </c>
      <c r="J157" s="17">
        <v>0.25</v>
      </c>
      <c r="K157" s="17">
        <v>0.25</v>
      </c>
      <c r="L157" s="17">
        <v>0.25</v>
      </c>
      <c r="M157" s="17">
        <v>0.25</v>
      </c>
      <c r="N157" s="17">
        <v>0.25</v>
      </c>
      <c r="O157" s="17">
        <v>0.25</v>
      </c>
      <c r="P157" s="17">
        <v>0.25</v>
      </c>
      <c r="Q157" s="17">
        <v>0.25</v>
      </c>
      <c r="R157" s="17">
        <v>0.25</v>
      </c>
      <c r="S157" s="17">
        <v>0.25</v>
      </c>
    </row>
    <row r="158" spans="1:19" x14ac:dyDescent="0.25">
      <c r="A158" t="s">
        <v>42</v>
      </c>
      <c r="B158" t="s">
        <v>13</v>
      </c>
      <c r="C158" t="s">
        <v>49</v>
      </c>
      <c r="E158" s="17"/>
      <c r="F158" s="17"/>
      <c r="G158" s="17">
        <v>0.25</v>
      </c>
      <c r="H158" s="17">
        <v>0.25</v>
      </c>
      <c r="I158" s="17">
        <v>0.25</v>
      </c>
      <c r="J158" s="17">
        <v>0.25</v>
      </c>
      <c r="K158" s="17">
        <v>0.25</v>
      </c>
      <c r="L158" s="17">
        <v>0.25</v>
      </c>
      <c r="M158" s="17">
        <v>0.25</v>
      </c>
      <c r="N158" s="17">
        <v>0.25</v>
      </c>
      <c r="O158" s="17">
        <v>0.25</v>
      </c>
      <c r="P158" s="17">
        <v>0.25</v>
      </c>
      <c r="Q158" s="17">
        <v>0.25</v>
      </c>
      <c r="R158" s="17">
        <v>0.25</v>
      </c>
      <c r="S158" s="17">
        <v>0.25</v>
      </c>
    </row>
    <row r="159" spans="1:19" x14ac:dyDescent="0.25">
      <c r="A159" t="s">
        <v>42</v>
      </c>
      <c r="B159" t="s">
        <v>15</v>
      </c>
      <c r="C159" t="s">
        <v>50</v>
      </c>
      <c r="E159" s="17"/>
      <c r="F159" s="17"/>
      <c r="G159" s="17">
        <v>0.25</v>
      </c>
      <c r="H159" s="17">
        <v>0.25</v>
      </c>
      <c r="I159" s="17">
        <v>0.25</v>
      </c>
      <c r="J159" s="17">
        <v>0.25</v>
      </c>
      <c r="K159" s="17">
        <v>0.25</v>
      </c>
      <c r="L159" s="17">
        <v>0.25</v>
      </c>
      <c r="M159" s="17">
        <v>0.25</v>
      </c>
      <c r="N159" s="17">
        <v>0.25</v>
      </c>
      <c r="O159" s="17">
        <v>0.25</v>
      </c>
      <c r="P159" s="17">
        <v>0.25</v>
      </c>
      <c r="Q159" s="17">
        <v>0.25</v>
      </c>
      <c r="R159" s="17">
        <v>0.25</v>
      </c>
      <c r="S159" s="17">
        <v>0.25</v>
      </c>
    </row>
    <row r="160" spans="1:19" x14ac:dyDescent="0.25">
      <c r="A160" t="s">
        <v>42</v>
      </c>
      <c r="B160" t="s">
        <v>15</v>
      </c>
      <c r="C160" t="s">
        <v>51</v>
      </c>
      <c r="E160" s="17"/>
      <c r="F160" s="17"/>
      <c r="G160" s="17">
        <v>0.25</v>
      </c>
      <c r="H160" s="17">
        <v>0.25</v>
      </c>
      <c r="I160" s="17">
        <v>0.25</v>
      </c>
      <c r="J160" s="17">
        <v>0.25</v>
      </c>
      <c r="K160" s="17">
        <v>0.25</v>
      </c>
      <c r="L160" s="17">
        <v>0.25</v>
      </c>
      <c r="M160" s="17">
        <v>0.25</v>
      </c>
      <c r="N160" s="17">
        <v>0.25</v>
      </c>
      <c r="O160" s="17">
        <v>0.25</v>
      </c>
      <c r="P160" s="17">
        <v>0.25</v>
      </c>
      <c r="Q160" s="17">
        <v>0.25</v>
      </c>
      <c r="R160" s="17">
        <v>0.25</v>
      </c>
      <c r="S160" s="17">
        <v>0.25</v>
      </c>
    </row>
    <row r="161" spans="1:19" x14ac:dyDescent="0.25">
      <c r="A161" t="s">
        <v>42</v>
      </c>
      <c r="B161" t="s">
        <v>52</v>
      </c>
      <c r="C161" t="s">
        <v>53</v>
      </c>
      <c r="E161" s="17"/>
      <c r="F161" s="17"/>
      <c r="G161" s="17">
        <v>0.25</v>
      </c>
      <c r="H161" s="17">
        <v>0.25</v>
      </c>
      <c r="I161" s="17">
        <v>0.25</v>
      </c>
      <c r="J161" s="17">
        <v>0.25</v>
      </c>
      <c r="K161" s="17">
        <v>0.25</v>
      </c>
      <c r="L161" s="17">
        <v>0.25</v>
      </c>
      <c r="M161" s="17">
        <v>0.25</v>
      </c>
      <c r="N161" s="17">
        <v>0.25</v>
      </c>
      <c r="O161" s="17">
        <v>0.25</v>
      </c>
      <c r="P161" s="17">
        <v>0.25</v>
      </c>
      <c r="Q161" s="17">
        <v>0.25</v>
      </c>
      <c r="R161" s="17">
        <v>0.25</v>
      </c>
      <c r="S161" s="17">
        <v>0.25</v>
      </c>
    </row>
    <row r="162" spans="1:19" x14ac:dyDescent="0.25">
      <c r="A162" t="s">
        <v>42</v>
      </c>
      <c r="B162" t="s">
        <v>52</v>
      </c>
      <c r="C162" t="s">
        <v>54</v>
      </c>
      <c r="E162" s="17"/>
      <c r="F162" s="17"/>
      <c r="G162" s="17">
        <v>0.25</v>
      </c>
      <c r="H162" s="17">
        <v>0.25</v>
      </c>
      <c r="I162" s="17">
        <v>0.25</v>
      </c>
      <c r="J162" s="17">
        <v>0.25</v>
      </c>
      <c r="K162" s="17">
        <v>0.25</v>
      </c>
      <c r="L162" s="17">
        <v>0.25</v>
      </c>
      <c r="M162" s="17">
        <v>0.25</v>
      </c>
      <c r="N162" s="17">
        <v>0.25</v>
      </c>
      <c r="O162" s="17">
        <v>0.25</v>
      </c>
      <c r="P162" s="17">
        <v>0.25</v>
      </c>
      <c r="Q162" s="17">
        <v>0.25</v>
      </c>
      <c r="R162" s="17">
        <v>0.25</v>
      </c>
      <c r="S162" s="17">
        <v>0.25</v>
      </c>
    </row>
    <row r="163" spans="1:19" x14ac:dyDescent="0.25">
      <c r="A163" t="s">
        <v>42</v>
      </c>
      <c r="B163" t="s">
        <v>52</v>
      </c>
      <c r="C163" t="s">
        <v>55</v>
      </c>
      <c r="E163" s="17"/>
      <c r="F163" s="17"/>
      <c r="G163" s="17">
        <v>0.25</v>
      </c>
      <c r="H163" s="17">
        <v>0.25</v>
      </c>
      <c r="I163" s="17">
        <v>0.25</v>
      </c>
      <c r="J163" s="17">
        <v>0.25</v>
      </c>
      <c r="K163" s="17">
        <v>0.25</v>
      </c>
      <c r="L163" s="17">
        <v>0.25</v>
      </c>
      <c r="M163" s="17">
        <v>0.25</v>
      </c>
      <c r="N163" s="17">
        <v>0.25</v>
      </c>
      <c r="O163" s="17">
        <v>0.25</v>
      </c>
      <c r="P163" s="17">
        <v>0.25</v>
      </c>
      <c r="Q163" s="17">
        <v>0.25</v>
      </c>
      <c r="R163" s="17">
        <v>0.25</v>
      </c>
      <c r="S163" s="17">
        <v>0.25</v>
      </c>
    </row>
    <row r="164" spans="1:19" x14ac:dyDescent="0.25">
      <c r="A164" t="s">
        <v>42</v>
      </c>
      <c r="B164" t="s">
        <v>56</v>
      </c>
      <c r="C164" t="s">
        <v>57</v>
      </c>
      <c r="E164" s="17"/>
      <c r="F164" s="17"/>
      <c r="G164" s="17">
        <v>0.25</v>
      </c>
      <c r="H164" s="17">
        <v>0.25</v>
      </c>
      <c r="I164" s="17">
        <v>0.25</v>
      </c>
      <c r="J164" s="17">
        <v>0.25</v>
      </c>
      <c r="K164" s="17">
        <v>0.25</v>
      </c>
      <c r="L164" s="17">
        <v>0.25</v>
      </c>
      <c r="M164" s="17">
        <v>0.25</v>
      </c>
      <c r="N164" s="17">
        <v>0.25</v>
      </c>
      <c r="O164" s="17">
        <v>0.25</v>
      </c>
      <c r="P164" s="17">
        <v>0.25</v>
      </c>
      <c r="Q164" s="17">
        <v>0.25</v>
      </c>
      <c r="R164" s="17">
        <v>0.25</v>
      </c>
      <c r="S164" s="17">
        <v>0.25</v>
      </c>
    </row>
    <row r="165" spans="1:19" x14ac:dyDescent="0.25">
      <c r="A165" t="s">
        <v>42</v>
      </c>
      <c r="B165" t="s">
        <v>56</v>
      </c>
      <c r="C165" t="s">
        <v>58</v>
      </c>
      <c r="E165" s="17"/>
      <c r="F165" s="17"/>
      <c r="G165" s="17">
        <v>0.25</v>
      </c>
      <c r="H165" s="17">
        <v>0.25</v>
      </c>
      <c r="I165" s="17">
        <v>0.25</v>
      </c>
      <c r="J165" s="17">
        <v>0.25</v>
      </c>
      <c r="K165" s="17">
        <v>0.25</v>
      </c>
      <c r="L165" s="17">
        <v>0.25</v>
      </c>
      <c r="M165" s="17">
        <v>0.25</v>
      </c>
      <c r="N165" s="17">
        <v>0.25</v>
      </c>
      <c r="O165" s="17">
        <v>0.25</v>
      </c>
      <c r="P165" s="17">
        <v>0.25</v>
      </c>
      <c r="Q165" s="17">
        <v>0.25</v>
      </c>
      <c r="R165" s="17">
        <v>0.25</v>
      </c>
      <c r="S165" s="17">
        <v>0.25</v>
      </c>
    </row>
    <row r="166" spans="1:19" x14ac:dyDescent="0.25">
      <c r="A166" t="s">
        <v>42</v>
      </c>
      <c r="B166" t="s">
        <v>56</v>
      </c>
      <c r="C166" t="s">
        <v>59</v>
      </c>
      <c r="E166" s="17"/>
      <c r="F166" s="17"/>
      <c r="G166" s="17">
        <v>0.25</v>
      </c>
      <c r="H166" s="17">
        <v>0.25</v>
      </c>
      <c r="I166" s="17">
        <v>0.25</v>
      </c>
      <c r="J166" s="17">
        <v>0.25</v>
      </c>
      <c r="K166" s="17">
        <v>0.25</v>
      </c>
      <c r="L166" s="17">
        <v>0.25</v>
      </c>
      <c r="M166" s="17">
        <v>0.25</v>
      </c>
      <c r="N166" s="17">
        <v>0.25</v>
      </c>
      <c r="O166" s="17">
        <v>0.25</v>
      </c>
      <c r="P166" s="17">
        <v>0.25</v>
      </c>
      <c r="Q166" s="17">
        <v>0.25</v>
      </c>
      <c r="R166" s="17">
        <v>0.25</v>
      </c>
      <c r="S166" s="17">
        <v>0.25</v>
      </c>
    </row>
    <row r="167" spans="1:19" x14ac:dyDescent="0.25">
      <c r="A167" t="s">
        <v>42</v>
      </c>
      <c r="B167" t="s">
        <v>56</v>
      </c>
      <c r="C167" t="s">
        <v>60</v>
      </c>
      <c r="E167" s="17"/>
      <c r="F167" s="17"/>
      <c r="G167" s="17">
        <v>0.25</v>
      </c>
      <c r="H167" s="17">
        <v>0.25</v>
      </c>
      <c r="I167" s="17">
        <v>0.25</v>
      </c>
      <c r="J167" s="17">
        <v>0.25</v>
      </c>
      <c r="K167" s="17">
        <v>0.25</v>
      </c>
      <c r="L167" s="17">
        <v>0.25</v>
      </c>
      <c r="M167" s="17">
        <v>0.25</v>
      </c>
      <c r="N167" s="17">
        <v>0.25</v>
      </c>
      <c r="O167" s="17">
        <v>0.25</v>
      </c>
      <c r="P167" s="17">
        <v>0.25</v>
      </c>
      <c r="Q167" s="17">
        <v>0.25</v>
      </c>
      <c r="R167" s="17">
        <v>0.25</v>
      </c>
      <c r="S167" s="17">
        <v>0.25</v>
      </c>
    </row>
    <row r="170" spans="1:19" x14ac:dyDescent="0.25">
      <c r="A170" s="16" t="s">
        <v>83</v>
      </c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</row>
    <row r="171" spans="1:19" x14ac:dyDescent="0.25">
      <c r="A171" t="s">
        <v>84</v>
      </c>
    </row>
    <row r="172" spans="1:19" x14ac:dyDescent="0.25">
      <c r="A172" t="s">
        <v>85</v>
      </c>
    </row>
    <row r="173" spans="1:19" x14ac:dyDescent="0.25">
      <c r="D173" s="2">
        <v>2013</v>
      </c>
      <c r="E173" s="2">
        <v>2014</v>
      </c>
      <c r="F173" s="2">
        <v>2015</v>
      </c>
      <c r="G173" s="2">
        <v>2016</v>
      </c>
      <c r="H173" s="2">
        <v>2017</v>
      </c>
      <c r="I173" s="2">
        <v>2018</v>
      </c>
      <c r="J173" s="2">
        <v>2019</v>
      </c>
      <c r="K173" s="2">
        <v>2020</v>
      </c>
      <c r="L173" s="2">
        <v>2021</v>
      </c>
      <c r="M173" s="2">
        <v>2022</v>
      </c>
      <c r="N173" s="2">
        <v>2023</v>
      </c>
      <c r="O173" s="2">
        <v>2024</v>
      </c>
      <c r="P173" s="2">
        <v>2025</v>
      </c>
      <c r="Q173" s="2">
        <v>2026</v>
      </c>
      <c r="R173" s="2">
        <v>2027</v>
      </c>
      <c r="S173" s="2">
        <v>2028</v>
      </c>
    </row>
    <row r="174" spans="1:19" x14ac:dyDescent="0.25">
      <c r="A174" t="s">
        <v>86</v>
      </c>
      <c r="E174" s="41">
        <v>2.8251081257694887E-2</v>
      </c>
      <c r="F174" s="41">
        <v>2.8870453640292251E-2</v>
      </c>
      <c r="G174" s="41">
        <v>2.91379435497808E-2</v>
      </c>
      <c r="H174" s="41">
        <v>2.931377773241672E-2</v>
      </c>
      <c r="I174" s="41">
        <v>2.920062418718326E-2</v>
      </c>
      <c r="J174" s="41">
        <v>2.9469310186499131E-2</v>
      </c>
      <c r="K174" s="41">
        <v>2.9414005973077119E-2</v>
      </c>
      <c r="L174" s="41">
        <v>3.0413012391426901E-2</v>
      </c>
      <c r="M174" s="65">
        <v>2.0026831362878507E-2</v>
      </c>
      <c r="N174" s="62">
        <v>2.0025363310294149E-2</v>
      </c>
      <c r="O174" s="62">
        <v>2.0023251147789283E-2</v>
      </c>
      <c r="P174" s="62">
        <v>1.9756760731006896E-2</v>
      </c>
      <c r="Q174" s="62">
        <v>1.9774168938369044E-2</v>
      </c>
    </row>
    <row r="175" spans="1:19" x14ac:dyDescent="0.25">
      <c r="A175" t="s">
        <v>87</v>
      </c>
      <c r="G175" s="41">
        <v>2.9137943549780811E-2</v>
      </c>
      <c r="H175" s="41">
        <v>2.908186755916908E-2</v>
      </c>
      <c r="I175" s="41">
        <v>2.8921876632523724E-2</v>
      </c>
      <c r="J175" s="41">
        <v>2.9198276912517546E-2</v>
      </c>
      <c r="K175" s="41">
        <v>2.9421618106174111E-2</v>
      </c>
      <c r="L175" s="41">
        <v>2.9741416154735845E-2</v>
      </c>
      <c r="M175" s="41">
        <v>2.990234622090333E-2</v>
      </c>
      <c r="N175" s="41">
        <v>3.0282501167429018E-2</v>
      </c>
      <c r="O175" s="65">
        <v>2.0016413235747911E-2</v>
      </c>
      <c r="P175" s="62">
        <v>1.9813765156266021E-2</v>
      </c>
      <c r="Q175" s="62">
        <v>1.9813795145773867E-2</v>
      </c>
      <c r="R175" s="62">
        <v>1.9813765156265598E-2</v>
      </c>
      <c r="S175" s="62">
        <v>1.9813765156265466E-2</v>
      </c>
    </row>
    <row r="178" spans="1:19" x14ac:dyDescent="0.25">
      <c r="A178" s="16" t="s">
        <v>88</v>
      </c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</row>
    <row r="181" spans="1:19" x14ac:dyDescent="0.25">
      <c r="A181" s="2" t="s">
        <v>8</v>
      </c>
      <c r="B181" s="2" t="s">
        <v>9</v>
      </c>
      <c r="C181" s="2" t="s">
        <v>10</v>
      </c>
      <c r="D181" s="2">
        <v>2013</v>
      </c>
      <c r="E181" s="2">
        <v>2014</v>
      </c>
      <c r="F181" s="2">
        <v>2015</v>
      </c>
      <c r="G181" s="2">
        <v>2016</v>
      </c>
      <c r="H181" s="2">
        <v>2017</v>
      </c>
      <c r="I181" s="2">
        <v>2018</v>
      </c>
      <c r="J181" s="2">
        <v>2019</v>
      </c>
      <c r="K181" s="2">
        <v>2020</v>
      </c>
      <c r="L181" s="2">
        <v>2021</v>
      </c>
      <c r="M181" s="2">
        <v>2022</v>
      </c>
      <c r="N181" s="2">
        <v>2023</v>
      </c>
      <c r="O181" s="2">
        <v>2024</v>
      </c>
      <c r="P181" s="2">
        <v>2025</v>
      </c>
      <c r="Q181" s="2">
        <v>2026</v>
      </c>
      <c r="R181" s="2">
        <v>2027</v>
      </c>
      <c r="S181" s="2">
        <v>2028</v>
      </c>
    </row>
    <row r="182" spans="1:19" x14ac:dyDescent="0.25">
      <c r="A182" t="s">
        <v>11</v>
      </c>
      <c r="B182" t="s">
        <v>12</v>
      </c>
      <c r="C182" t="s">
        <v>12</v>
      </c>
      <c r="E182" s="10">
        <v>4.5520000000000005E-2</v>
      </c>
      <c r="F182" s="10">
        <v>4.4319999999999998E-2</v>
      </c>
      <c r="G182" s="10">
        <v>4.3300000000000005E-2</v>
      </c>
      <c r="H182" s="10">
        <v>4.2280000000000005E-2</v>
      </c>
      <c r="I182" s="10">
        <v>4.1320000000000003E-2</v>
      </c>
      <c r="J182" s="10">
        <v>3.9460000000000002E-2</v>
      </c>
      <c r="K182" s="10">
        <v>3.7480000000000006E-2</v>
      </c>
      <c r="L182" s="10">
        <v>3.4540000000000001E-2</v>
      </c>
      <c r="M182" s="10">
        <v>3.0372752400000001E-2</v>
      </c>
      <c r="N182" s="10">
        <v>2.9627241999999998E-2</v>
      </c>
      <c r="O182" s="10">
        <v>3.2653577599999997E-2</v>
      </c>
      <c r="P182" s="10">
        <v>3.3300465599999995E-2</v>
      </c>
      <c r="Q182" s="10">
        <v>3.4208054799999998E-2</v>
      </c>
    </row>
    <row r="183" spans="1:19" x14ac:dyDescent="0.25">
      <c r="A183" t="s">
        <v>11</v>
      </c>
      <c r="B183" t="s">
        <v>13</v>
      </c>
      <c r="C183" t="s">
        <v>14</v>
      </c>
      <c r="E183" s="10">
        <v>4.7560000000000005E-2</v>
      </c>
      <c r="F183" s="10">
        <v>4.6460000000000001E-2</v>
      </c>
      <c r="G183" s="10">
        <v>4.5525000000000003E-2</v>
      </c>
      <c r="H183" s="10">
        <v>4.4590000000000005E-2</v>
      </c>
      <c r="I183" s="10">
        <v>4.3709999999999999E-2</v>
      </c>
      <c r="J183" s="10">
        <v>4.2005000000000001E-2</v>
      </c>
      <c r="K183" s="10">
        <v>4.0190000000000003E-2</v>
      </c>
      <c r="L183" s="10">
        <v>3.7499999999999999E-2</v>
      </c>
      <c r="M183" s="10">
        <v>3.0372752400000001E-2</v>
      </c>
      <c r="N183" s="10">
        <v>2.9627241999999998E-2</v>
      </c>
      <c r="O183" s="10">
        <v>3.2653577599999997E-2</v>
      </c>
      <c r="P183" s="10">
        <v>3.3300465599999995E-2</v>
      </c>
      <c r="Q183" s="10">
        <v>3.4208054799999998E-2</v>
      </c>
    </row>
    <row r="184" spans="1:19" x14ac:dyDescent="0.25">
      <c r="A184" t="s">
        <v>11</v>
      </c>
      <c r="B184" t="s">
        <v>15</v>
      </c>
      <c r="C184" t="s">
        <v>16</v>
      </c>
      <c r="E184" s="10">
        <v>4.7560000000000005E-2</v>
      </c>
      <c r="F184" s="10">
        <v>4.5249999999999999E-2</v>
      </c>
      <c r="G184" s="10">
        <v>4.3325000000000002E-2</v>
      </c>
      <c r="H184" s="10">
        <v>4.1345E-2</v>
      </c>
      <c r="I184" s="10">
        <v>3.9805E-2</v>
      </c>
      <c r="J184" s="10">
        <v>3.7879999999999997E-2</v>
      </c>
      <c r="K184" s="10">
        <v>3.6999999999999998E-2</v>
      </c>
      <c r="L184" s="10">
        <v>3.5700000000000003E-2</v>
      </c>
      <c r="M184" s="10">
        <v>2.9104993042011307E-2</v>
      </c>
      <c r="N184" s="10">
        <v>2.786362169764809E-2</v>
      </c>
      <c r="O184" s="10">
        <v>3.2077885218685209E-2</v>
      </c>
      <c r="P184" s="10">
        <v>3.3808192239851639E-2</v>
      </c>
      <c r="Q184" s="10">
        <v>3.5427556613240457E-2</v>
      </c>
    </row>
    <row r="185" spans="1:19" x14ac:dyDescent="0.25">
      <c r="A185" t="s">
        <v>17</v>
      </c>
      <c r="B185" t="s">
        <v>18</v>
      </c>
      <c r="C185" t="s">
        <v>19</v>
      </c>
      <c r="E185" s="10">
        <v>4.2429999999999995E-2</v>
      </c>
      <c r="F185" s="10">
        <v>4.113E-2</v>
      </c>
      <c r="G185" s="10">
        <v>4.0024999999999998E-2</v>
      </c>
      <c r="H185" s="10">
        <v>3.8919999999999996E-2</v>
      </c>
      <c r="I185" s="10">
        <v>3.7879999999999997E-2</v>
      </c>
      <c r="J185" s="10">
        <v>3.5864999999999994E-2</v>
      </c>
      <c r="K185" s="10">
        <v>3.372E-2</v>
      </c>
      <c r="L185" s="10">
        <v>3.372E-2</v>
      </c>
      <c r="M185" s="10">
        <v>3.0372752400000001E-2</v>
      </c>
      <c r="N185" s="10">
        <v>2.9627242000000002E-2</v>
      </c>
      <c r="O185" s="10">
        <v>2.9139652799999999E-2</v>
      </c>
      <c r="P185" s="10">
        <v>2.8936208800000002E-2</v>
      </c>
      <c r="Q185" s="10">
        <v>2.8833453600000003E-2</v>
      </c>
    </row>
    <row r="186" spans="1:19" x14ac:dyDescent="0.25">
      <c r="A186" t="s">
        <v>17</v>
      </c>
      <c r="B186" t="s">
        <v>18</v>
      </c>
      <c r="C186" t="s">
        <v>20</v>
      </c>
      <c r="E186" s="10">
        <v>4.2429999999999995E-2</v>
      </c>
      <c r="F186" s="10">
        <v>4.113E-2</v>
      </c>
      <c r="G186" s="10">
        <v>4.0024999999999998E-2</v>
      </c>
      <c r="H186" s="10">
        <v>3.8919999999999996E-2</v>
      </c>
      <c r="I186" s="10">
        <v>3.7879999999999997E-2</v>
      </c>
      <c r="J186" s="10">
        <v>3.5864999999999994E-2</v>
      </c>
      <c r="K186" s="10">
        <v>3.372E-2</v>
      </c>
      <c r="L186" s="10">
        <v>3.372E-2</v>
      </c>
      <c r="M186" s="10">
        <v>3.0372752400000001E-2</v>
      </c>
      <c r="N186" s="10">
        <v>2.9627242000000002E-2</v>
      </c>
      <c r="O186" s="10">
        <v>2.9139652799999999E-2</v>
      </c>
      <c r="P186" s="10">
        <v>2.8936208800000002E-2</v>
      </c>
      <c r="Q186" s="10">
        <v>2.8833453600000003E-2</v>
      </c>
    </row>
    <row r="187" spans="1:19" x14ac:dyDescent="0.25">
      <c r="A187" t="s">
        <v>17</v>
      </c>
      <c r="B187" t="s">
        <v>18</v>
      </c>
      <c r="C187" t="s">
        <v>21</v>
      </c>
      <c r="E187" s="10">
        <v>4.2429999999999995E-2</v>
      </c>
      <c r="F187" s="10">
        <v>4.113E-2</v>
      </c>
      <c r="G187" s="10">
        <v>4.0024999999999998E-2</v>
      </c>
      <c r="H187" s="10">
        <v>3.8919999999999996E-2</v>
      </c>
      <c r="I187" s="10">
        <v>3.7879999999999997E-2</v>
      </c>
      <c r="J187" s="10">
        <v>3.5864999999999994E-2</v>
      </c>
      <c r="K187" s="10">
        <v>3.372E-2</v>
      </c>
      <c r="L187" s="10">
        <v>3.372E-2</v>
      </c>
      <c r="M187" s="10">
        <v>3.0372752400000001E-2</v>
      </c>
      <c r="N187" s="10">
        <v>2.9627242000000002E-2</v>
      </c>
      <c r="O187" s="10">
        <v>2.9139652799999999E-2</v>
      </c>
      <c r="P187" s="10">
        <v>2.8936208800000002E-2</v>
      </c>
      <c r="Q187" s="10">
        <v>2.8833453600000003E-2</v>
      </c>
    </row>
    <row r="188" spans="1:19" x14ac:dyDescent="0.25">
      <c r="A188" t="s">
        <v>17</v>
      </c>
      <c r="B188" t="s">
        <v>18</v>
      </c>
      <c r="C188" t="s">
        <v>22</v>
      </c>
      <c r="E188" s="10">
        <v>4.2429999999999995E-2</v>
      </c>
      <c r="F188" s="10">
        <v>4.113E-2</v>
      </c>
      <c r="G188" s="10">
        <v>4.0024999999999998E-2</v>
      </c>
      <c r="H188" s="10">
        <v>3.8919999999999996E-2</v>
      </c>
      <c r="I188" s="10">
        <v>3.7879999999999997E-2</v>
      </c>
      <c r="J188" s="10">
        <v>3.5864999999999994E-2</v>
      </c>
      <c r="K188" s="10">
        <v>3.372E-2</v>
      </c>
      <c r="L188" s="10">
        <v>3.372E-2</v>
      </c>
      <c r="M188" s="10">
        <v>3.07327524E-2</v>
      </c>
      <c r="N188" s="10">
        <v>2.9987242000000001E-2</v>
      </c>
      <c r="O188" s="10">
        <v>2.9499652800000001E-2</v>
      </c>
      <c r="P188" s="10">
        <v>2.9296208800000001E-2</v>
      </c>
      <c r="Q188" s="10">
        <v>2.9193453599999999E-2</v>
      </c>
    </row>
    <row r="189" spans="1:19" x14ac:dyDescent="0.25">
      <c r="A189" t="s">
        <v>17</v>
      </c>
      <c r="B189" t="s">
        <v>23</v>
      </c>
      <c r="C189" t="s">
        <v>24</v>
      </c>
      <c r="E189" s="10">
        <v>4.2429999999999995E-2</v>
      </c>
      <c r="F189" s="10">
        <v>4.113E-2</v>
      </c>
      <c r="G189" s="10">
        <v>4.0024999999999998E-2</v>
      </c>
      <c r="H189" s="10">
        <v>3.8919999999999996E-2</v>
      </c>
      <c r="I189" s="10">
        <v>3.7879999999999997E-2</v>
      </c>
      <c r="J189" s="10">
        <v>3.5864999999999994E-2</v>
      </c>
      <c r="K189" s="10">
        <v>3.372E-2</v>
      </c>
      <c r="L189" s="10">
        <v>3.372E-2</v>
      </c>
      <c r="M189" s="10">
        <v>3.07327524E-2</v>
      </c>
      <c r="N189" s="10">
        <v>2.9987242000000001E-2</v>
      </c>
      <c r="O189" s="10">
        <v>2.9615519999999999E-2</v>
      </c>
      <c r="P189" s="10">
        <v>2.9412075999999999E-2</v>
      </c>
      <c r="Q189" s="10">
        <v>2.9309320800000004E-2</v>
      </c>
    </row>
    <row r="190" spans="1:19" x14ac:dyDescent="0.25">
      <c r="A190" t="s">
        <v>17</v>
      </c>
      <c r="B190" t="s">
        <v>25</v>
      </c>
      <c r="C190" t="s">
        <v>26</v>
      </c>
      <c r="E190" s="10">
        <v>4.2429999999999995E-2</v>
      </c>
      <c r="F190" s="10">
        <v>4.113E-2</v>
      </c>
      <c r="G190" s="10">
        <v>4.0024999999999998E-2</v>
      </c>
      <c r="H190" s="10">
        <v>3.8919999999999996E-2</v>
      </c>
      <c r="I190" s="10">
        <v>3.7879999999999997E-2</v>
      </c>
      <c r="J190" s="10">
        <v>3.5864999999999994E-2</v>
      </c>
      <c r="K190" s="10">
        <v>3.372E-2</v>
      </c>
      <c r="L190" s="10">
        <v>3.372E-2</v>
      </c>
      <c r="M190" s="10">
        <v>3.0372752400000001E-2</v>
      </c>
      <c r="N190" s="10">
        <v>2.9627242000000002E-2</v>
      </c>
      <c r="O190" s="10">
        <v>2.925552E-2</v>
      </c>
      <c r="P190" s="10">
        <v>2.9052076000000003E-2</v>
      </c>
      <c r="Q190" s="10">
        <v>2.8949320800000004E-2</v>
      </c>
    </row>
    <row r="191" spans="1:19" x14ac:dyDescent="0.25">
      <c r="A191" t="s">
        <v>17</v>
      </c>
      <c r="B191" t="s">
        <v>25</v>
      </c>
      <c r="C191" t="s">
        <v>27</v>
      </c>
      <c r="E191" s="10">
        <v>4.2429999999999995E-2</v>
      </c>
      <c r="F191" s="10">
        <v>4.113E-2</v>
      </c>
      <c r="G191" s="10">
        <v>4.0024999999999998E-2</v>
      </c>
      <c r="H191" s="10">
        <v>3.8919999999999996E-2</v>
      </c>
      <c r="I191" s="10">
        <v>3.7879999999999997E-2</v>
      </c>
      <c r="J191" s="10">
        <v>3.5864999999999994E-2</v>
      </c>
      <c r="K191" s="10">
        <v>3.372E-2</v>
      </c>
      <c r="L191" s="10">
        <v>3.372E-2</v>
      </c>
      <c r="M191" s="10">
        <v>3.07327524E-2</v>
      </c>
      <c r="N191" s="10">
        <v>2.9987242000000001E-2</v>
      </c>
      <c r="O191" s="10">
        <v>2.9499652800000001E-2</v>
      </c>
      <c r="P191" s="10">
        <v>2.9296208800000001E-2</v>
      </c>
      <c r="Q191" s="10">
        <v>2.9193453599999999E-2</v>
      </c>
    </row>
    <row r="192" spans="1:19" x14ac:dyDescent="0.25">
      <c r="A192" t="s">
        <v>17</v>
      </c>
      <c r="B192" t="s">
        <v>28</v>
      </c>
      <c r="C192" t="s">
        <v>29</v>
      </c>
      <c r="E192" s="10">
        <v>4.2429999999999995E-2</v>
      </c>
      <c r="F192" s="10">
        <v>4.113E-2</v>
      </c>
      <c r="G192" s="10">
        <v>4.0024999999999998E-2</v>
      </c>
      <c r="H192" s="10">
        <v>3.8919999999999996E-2</v>
      </c>
      <c r="I192" s="10">
        <v>3.7879999999999997E-2</v>
      </c>
      <c r="J192" s="10">
        <v>3.5864999999999994E-2</v>
      </c>
      <c r="K192" s="10">
        <v>3.372E-2</v>
      </c>
      <c r="L192" s="10">
        <v>3.372E-2</v>
      </c>
      <c r="M192" s="10">
        <v>3.0372752400000001E-2</v>
      </c>
      <c r="N192" s="10">
        <v>2.9627242000000002E-2</v>
      </c>
      <c r="O192" s="10">
        <v>2.9139652799999999E-2</v>
      </c>
      <c r="P192" s="10">
        <v>2.8936208800000002E-2</v>
      </c>
      <c r="Q192" s="10">
        <v>2.8833453600000003E-2</v>
      </c>
    </row>
    <row r="193" spans="1:19" x14ac:dyDescent="0.25">
      <c r="A193" t="s">
        <v>30</v>
      </c>
      <c r="B193" t="s">
        <v>31</v>
      </c>
      <c r="C193" t="s">
        <v>32</v>
      </c>
      <c r="E193" s="10">
        <v>4.3749999999999997E-2</v>
      </c>
      <c r="F193" s="10">
        <v>4.2500000000000003E-2</v>
      </c>
      <c r="G193" s="10">
        <v>4.1437500000000002E-2</v>
      </c>
      <c r="H193" s="10">
        <v>4.0375000000000001E-2</v>
      </c>
      <c r="I193" s="10">
        <v>3.9375E-2</v>
      </c>
      <c r="J193" s="10">
        <v>3.7437499999999999E-2</v>
      </c>
      <c r="K193" s="10">
        <v>3.5375000000000004E-2</v>
      </c>
      <c r="L193" s="10">
        <v>3.2312500000000001E-2</v>
      </c>
      <c r="M193" s="10">
        <v>3.0372752400000001E-2</v>
      </c>
      <c r="N193" s="10">
        <v>2.9627242000000002E-2</v>
      </c>
      <c r="O193" s="10">
        <v>2.9139652799999999E-2</v>
      </c>
      <c r="P193" s="10">
        <v>2.8936208800000002E-2</v>
      </c>
      <c r="Q193" s="10">
        <v>2.8833453600000003E-2</v>
      </c>
    </row>
    <row r="194" spans="1:19" x14ac:dyDescent="0.25">
      <c r="A194" t="s">
        <v>30</v>
      </c>
      <c r="B194" t="s">
        <v>31</v>
      </c>
      <c r="C194" t="s">
        <v>33</v>
      </c>
      <c r="E194" s="10">
        <v>4.3749999999999997E-2</v>
      </c>
      <c r="F194" s="10">
        <v>4.2500000000000003E-2</v>
      </c>
      <c r="G194" s="10">
        <v>4.1437500000000002E-2</v>
      </c>
      <c r="H194" s="10">
        <v>4.0375000000000001E-2</v>
      </c>
      <c r="I194" s="10">
        <v>3.9375E-2</v>
      </c>
      <c r="J194" s="10">
        <v>3.7437499999999999E-2</v>
      </c>
      <c r="K194" s="10">
        <v>3.5375000000000004E-2</v>
      </c>
      <c r="L194" s="10">
        <v>3.2312500000000001E-2</v>
      </c>
      <c r="M194" s="10">
        <v>3.0372752400000001E-2</v>
      </c>
      <c r="N194" s="10">
        <v>2.9627242000000002E-2</v>
      </c>
      <c r="O194" s="10">
        <v>2.9139652799999999E-2</v>
      </c>
      <c r="P194" s="10">
        <v>2.8936208800000002E-2</v>
      </c>
      <c r="Q194" s="10">
        <v>2.8833453600000003E-2</v>
      </c>
    </row>
    <row r="196" spans="1:19" x14ac:dyDescent="0.25">
      <c r="A196" t="s">
        <v>42</v>
      </c>
      <c r="B196" t="s">
        <v>43</v>
      </c>
      <c r="C196" t="s">
        <v>44</v>
      </c>
      <c r="G196" s="10">
        <v>3.7574999999999997E-2</v>
      </c>
      <c r="H196" s="10">
        <v>3.6729999999999999E-2</v>
      </c>
      <c r="I196" s="10">
        <v>3.5885E-2</v>
      </c>
      <c r="J196" s="10">
        <v>3.4584999999999998E-2</v>
      </c>
      <c r="K196" s="10">
        <v>3.3610000000000001E-2</v>
      </c>
      <c r="L196" s="10">
        <v>3.2570000000000002E-2</v>
      </c>
      <c r="M196" s="10">
        <v>3.1529999999999996E-2</v>
      </c>
      <c r="N196" s="10">
        <v>3.0359999999999998E-2</v>
      </c>
      <c r="O196" s="10">
        <v>3.97335776E-2</v>
      </c>
      <c r="P196" s="10">
        <v>3.9575631600000008E-2</v>
      </c>
      <c r="Q196" s="10">
        <v>3.9523220800000002E-2</v>
      </c>
      <c r="R196" s="10">
        <v>3.91321876E-2</v>
      </c>
      <c r="S196" s="10">
        <v>3.8743220800000006E-2</v>
      </c>
    </row>
    <row r="197" spans="1:19" x14ac:dyDescent="0.25">
      <c r="A197" t="s">
        <v>42</v>
      </c>
      <c r="B197" t="s">
        <v>45</v>
      </c>
      <c r="C197" t="s">
        <v>46</v>
      </c>
      <c r="G197" s="10">
        <v>3.7574999999999997E-2</v>
      </c>
      <c r="H197" s="10">
        <v>3.6729999999999999E-2</v>
      </c>
      <c r="I197" s="10">
        <v>3.5885E-2</v>
      </c>
      <c r="J197" s="10">
        <v>3.4584999999999998E-2</v>
      </c>
      <c r="K197" s="10">
        <v>3.3610000000000001E-2</v>
      </c>
      <c r="L197" s="10">
        <v>3.2570000000000002E-2</v>
      </c>
      <c r="M197" s="10">
        <v>3.1529999999999996E-2</v>
      </c>
      <c r="N197" s="10">
        <v>3.0359999999999998E-2</v>
      </c>
      <c r="O197" s="10">
        <v>3.97335776E-2</v>
      </c>
      <c r="P197" s="10">
        <v>3.9575631600000008E-2</v>
      </c>
      <c r="Q197" s="10">
        <v>3.9523220800000002E-2</v>
      </c>
      <c r="R197" s="10">
        <v>3.91321876E-2</v>
      </c>
      <c r="S197" s="10">
        <v>3.8743220800000006E-2</v>
      </c>
    </row>
    <row r="198" spans="1:19" x14ac:dyDescent="0.25">
      <c r="A198" t="s">
        <v>42</v>
      </c>
      <c r="B198" t="s">
        <v>45</v>
      </c>
      <c r="C198" t="s">
        <v>47</v>
      </c>
      <c r="G198" s="10">
        <v>3.7574999999999997E-2</v>
      </c>
      <c r="H198" s="10">
        <v>3.6729999999999999E-2</v>
      </c>
      <c r="I198" s="10">
        <v>3.5885E-2</v>
      </c>
      <c r="J198" s="10">
        <v>3.4584999999999998E-2</v>
      </c>
      <c r="K198" s="10">
        <v>3.3610000000000001E-2</v>
      </c>
      <c r="L198" s="10">
        <v>3.2570000000000002E-2</v>
      </c>
      <c r="M198" s="10">
        <v>3.1529999999999996E-2</v>
      </c>
      <c r="N198" s="10">
        <v>3.0359999999999998E-2</v>
      </c>
      <c r="O198" s="10">
        <v>3.97335776E-2</v>
      </c>
      <c r="P198" s="10">
        <v>3.9575631600000008E-2</v>
      </c>
      <c r="Q198" s="10">
        <v>3.9523220800000002E-2</v>
      </c>
      <c r="R198" s="10">
        <v>3.91321876E-2</v>
      </c>
      <c r="S198" s="10">
        <v>3.8743220800000006E-2</v>
      </c>
    </row>
    <row r="199" spans="1:19" x14ac:dyDescent="0.25">
      <c r="A199" t="s">
        <v>42</v>
      </c>
      <c r="B199" t="s">
        <v>13</v>
      </c>
      <c r="C199" t="s">
        <v>48</v>
      </c>
      <c r="G199" s="10">
        <v>3.7574999999999997E-2</v>
      </c>
      <c r="H199" s="10">
        <v>3.6729999999999999E-2</v>
      </c>
      <c r="I199" s="10">
        <v>3.5885E-2</v>
      </c>
      <c r="J199" s="10">
        <v>3.4584999999999998E-2</v>
      </c>
      <c r="K199" s="10">
        <v>3.3610000000000001E-2</v>
      </c>
      <c r="L199" s="10">
        <v>3.2570000000000002E-2</v>
      </c>
      <c r="M199" s="10">
        <v>3.1530000000000002E-2</v>
      </c>
      <c r="N199" s="10">
        <v>3.0359999999999998E-2</v>
      </c>
      <c r="O199" s="10">
        <v>3.97335776E-2</v>
      </c>
      <c r="P199" s="10">
        <v>3.9575631600000008E-2</v>
      </c>
      <c r="Q199" s="10">
        <v>3.9523220800000002E-2</v>
      </c>
      <c r="R199" s="10">
        <v>3.91321876E-2</v>
      </c>
      <c r="S199" s="10">
        <v>3.8743220800000006E-2</v>
      </c>
    </row>
    <row r="200" spans="1:19" x14ac:dyDescent="0.25">
      <c r="A200" t="s">
        <v>42</v>
      </c>
      <c r="B200" t="s">
        <v>13</v>
      </c>
      <c r="C200" t="s">
        <v>49</v>
      </c>
      <c r="G200" s="10">
        <v>3.7574999999999997E-2</v>
      </c>
      <c r="H200" s="10">
        <v>3.6729999999999999E-2</v>
      </c>
      <c r="I200" s="10">
        <v>3.5885E-2</v>
      </c>
      <c r="J200" s="10">
        <v>3.4584999999999998E-2</v>
      </c>
      <c r="K200" s="10">
        <v>3.3610000000000001E-2</v>
      </c>
      <c r="L200" s="10">
        <v>3.2570000000000002E-2</v>
      </c>
      <c r="M200" s="10">
        <v>3.1530000000000002E-2</v>
      </c>
      <c r="N200" s="10">
        <v>3.0359999999999998E-2</v>
      </c>
      <c r="O200" s="10">
        <v>3.97335776E-2</v>
      </c>
      <c r="P200" s="10">
        <v>3.9575631600000008E-2</v>
      </c>
      <c r="Q200" s="10">
        <v>3.9523220800000002E-2</v>
      </c>
      <c r="R200" s="10">
        <v>3.91321876E-2</v>
      </c>
      <c r="S200" s="10">
        <v>3.8743220800000006E-2</v>
      </c>
    </row>
    <row r="201" spans="1:19" x14ac:dyDescent="0.25">
      <c r="A201" t="s">
        <v>42</v>
      </c>
      <c r="B201" t="s">
        <v>15</v>
      </c>
      <c r="C201" t="s">
        <v>50</v>
      </c>
      <c r="G201" s="10">
        <v>3.7574999999999997E-2</v>
      </c>
      <c r="H201" s="10">
        <v>3.6729999999999999E-2</v>
      </c>
      <c r="I201" s="10">
        <v>3.5885E-2</v>
      </c>
      <c r="J201" s="10">
        <v>3.4584999999999998E-2</v>
      </c>
      <c r="K201" s="10">
        <v>3.3610000000000001E-2</v>
      </c>
      <c r="L201" s="10">
        <v>3.2570000000000002E-2</v>
      </c>
      <c r="M201" s="10">
        <v>3.1529999999999996E-2</v>
      </c>
      <c r="N201" s="10">
        <v>3.0359999999999998E-2</v>
      </c>
      <c r="O201" s="10">
        <v>3.97335776E-2</v>
      </c>
      <c r="P201" s="10">
        <v>3.9575631600000008E-2</v>
      </c>
      <c r="Q201" s="10">
        <v>3.9523220800000002E-2</v>
      </c>
      <c r="R201" s="10">
        <v>3.91321876E-2</v>
      </c>
      <c r="S201" s="10">
        <v>3.8743220800000006E-2</v>
      </c>
    </row>
    <row r="202" spans="1:19" x14ac:dyDescent="0.25">
      <c r="A202" t="s">
        <v>42</v>
      </c>
      <c r="B202" t="s">
        <v>15</v>
      </c>
      <c r="C202" t="s">
        <v>51</v>
      </c>
      <c r="G202" s="10">
        <v>3.7574999999999997E-2</v>
      </c>
      <c r="H202" s="10">
        <v>3.6729999999999999E-2</v>
      </c>
      <c r="I202" s="10">
        <v>3.5885E-2</v>
      </c>
      <c r="J202" s="10">
        <v>3.4584999999999998E-2</v>
      </c>
      <c r="K202" s="10">
        <v>3.3610000000000001E-2</v>
      </c>
      <c r="L202" s="10">
        <v>3.2570000000000002E-2</v>
      </c>
      <c r="M202" s="10">
        <v>3.1529999999999996E-2</v>
      </c>
      <c r="N202" s="10">
        <v>3.0359999999999998E-2</v>
      </c>
      <c r="O202" s="10">
        <v>3.9373577600000001E-2</v>
      </c>
      <c r="P202" s="10">
        <v>3.9215631600000002E-2</v>
      </c>
      <c r="Q202" s="10">
        <v>3.9163220800000002E-2</v>
      </c>
      <c r="R202" s="10">
        <v>3.8832187599999998E-2</v>
      </c>
      <c r="S202" s="10">
        <v>3.8383220800000006E-2</v>
      </c>
    </row>
    <row r="203" spans="1:19" x14ac:dyDescent="0.25">
      <c r="A203" t="s">
        <v>42</v>
      </c>
      <c r="B203" t="s">
        <v>52</v>
      </c>
      <c r="C203" t="s">
        <v>53</v>
      </c>
      <c r="G203" s="10">
        <v>3.7574999999999997E-2</v>
      </c>
      <c r="H203" s="10">
        <v>3.6729999999999999E-2</v>
      </c>
      <c r="I203" s="10">
        <v>3.5885E-2</v>
      </c>
      <c r="J203" s="10">
        <v>3.4584999999999998E-2</v>
      </c>
      <c r="K203" s="10">
        <v>3.3610000000000001E-2</v>
      </c>
      <c r="L203" s="10">
        <v>3.2570000000000002E-2</v>
      </c>
      <c r="M203" s="10">
        <v>3.1530000000000002E-2</v>
      </c>
      <c r="N203" s="10">
        <v>3.0359999999999998E-2</v>
      </c>
      <c r="O203" s="10">
        <v>3.9373577600000001E-2</v>
      </c>
      <c r="P203" s="10">
        <v>3.9215631600000002E-2</v>
      </c>
      <c r="Q203" s="10">
        <v>3.9163220800000002E-2</v>
      </c>
      <c r="R203" s="10">
        <v>3.8832187599999998E-2</v>
      </c>
      <c r="S203" s="10">
        <v>3.8383220800000006E-2</v>
      </c>
    </row>
    <row r="204" spans="1:19" x14ac:dyDescent="0.25">
      <c r="A204" t="s">
        <v>42</v>
      </c>
      <c r="B204" t="s">
        <v>52</v>
      </c>
      <c r="C204" t="s">
        <v>54</v>
      </c>
      <c r="G204" s="10">
        <v>3.7574999999999997E-2</v>
      </c>
      <c r="H204" s="10">
        <v>3.6729999999999999E-2</v>
      </c>
      <c r="I204" s="10">
        <v>3.5885E-2</v>
      </c>
      <c r="J204" s="10">
        <v>3.4584999999999998E-2</v>
      </c>
      <c r="K204" s="10">
        <v>3.3610000000000001E-2</v>
      </c>
      <c r="L204" s="10">
        <v>3.2570000000000002E-2</v>
      </c>
      <c r="M204" s="10">
        <v>3.1530000000000002E-2</v>
      </c>
      <c r="N204" s="10">
        <v>3.0359999999999998E-2</v>
      </c>
      <c r="O204" s="10">
        <v>3.97335776E-2</v>
      </c>
      <c r="P204" s="10">
        <v>3.9575631600000008E-2</v>
      </c>
      <c r="Q204" s="10">
        <v>3.9523220800000002E-2</v>
      </c>
      <c r="R204" s="10">
        <v>3.91321876E-2</v>
      </c>
      <c r="S204" s="10">
        <v>3.8743220800000006E-2</v>
      </c>
    </row>
    <row r="205" spans="1:19" x14ac:dyDescent="0.25">
      <c r="A205" t="s">
        <v>42</v>
      </c>
      <c r="B205" t="s">
        <v>52</v>
      </c>
      <c r="C205" t="s">
        <v>55</v>
      </c>
      <c r="G205" s="10">
        <v>3.7574999999999997E-2</v>
      </c>
      <c r="H205" s="10">
        <v>3.6729999999999999E-2</v>
      </c>
      <c r="I205" s="10">
        <v>3.5885E-2</v>
      </c>
      <c r="J205" s="10">
        <v>3.4584999999999998E-2</v>
      </c>
      <c r="K205" s="10">
        <v>3.3610000000000001E-2</v>
      </c>
      <c r="L205" s="10">
        <v>3.2570000000000002E-2</v>
      </c>
      <c r="M205" s="10">
        <v>3.1530000000000002E-2</v>
      </c>
      <c r="N205" s="10">
        <v>3.0359999999999998E-2</v>
      </c>
      <c r="O205" s="10">
        <v>3.97335776E-2</v>
      </c>
      <c r="P205" s="10">
        <v>3.9575631600000008E-2</v>
      </c>
      <c r="Q205" s="10">
        <v>3.9523220800000002E-2</v>
      </c>
      <c r="R205" s="10">
        <v>3.91321876E-2</v>
      </c>
      <c r="S205" s="10">
        <v>3.8743220800000006E-2</v>
      </c>
    </row>
    <row r="206" spans="1:19" x14ac:dyDescent="0.25">
      <c r="A206" t="s">
        <v>42</v>
      </c>
      <c r="B206" t="s">
        <v>56</v>
      </c>
      <c r="C206" t="s">
        <v>57</v>
      </c>
      <c r="G206" s="10">
        <v>3.8974999999999996E-2</v>
      </c>
      <c r="H206" s="10">
        <v>3.7870000000000001E-2</v>
      </c>
      <c r="I206" s="10">
        <v>3.6830000000000002E-2</v>
      </c>
      <c r="J206" s="10">
        <v>3.4814999999999999E-2</v>
      </c>
      <c r="K206" s="10">
        <v>3.2670000000000005E-2</v>
      </c>
      <c r="L206" s="10">
        <v>2.9485000000000001E-2</v>
      </c>
      <c r="M206" s="10">
        <v>2.734E-2</v>
      </c>
      <c r="N206" s="10">
        <v>2.4934999999999999E-2</v>
      </c>
      <c r="O206" s="10">
        <v>3.9373577600000001E-2</v>
      </c>
      <c r="P206" s="10">
        <v>3.9215631600000002E-2</v>
      </c>
      <c r="Q206" s="10">
        <v>3.9163220800000002E-2</v>
      </c>
      <c r="R206" s="10">
        <v>3.8832187599999998E-2</v>
      </c>
      <c r="S206" s="10">
        <v>3.8383220800000006E-2</v>
      </c>
    </row>
    <row r="207" spans="1:19" x14ac:dyDescent="0.25">
      <c r="A207" t="s">
        <v>42</v>
      </c>
      <c r="B207" t="s">
        <v>56</v>
      </c>
      <c r="C207" t="s">
        <v>58</v>
      </c>
      <c r="G207" s="10">
        <v>3.8974999999999996E-2</v>
      </c>
      <c r="H207" s="10">
        <v>3.7870000000000001E-2</v>
      </c>
      <c r="I207" s="10">
        <v>3.6830000000000002E-2</v>
      </c>
      <c r="J207" s="10">
        <v>3.4814999999999999E-2</v>
      </c>
      <c r="K207" s="10">
        <v>3.2670000000000005E-2</v>
      </c>
      <c r="L207" s="10">
        <v>2.9485000000000001E-2</v>
      </c>
      <c r="M207" s="10">
        <v>2.734E-2</v>
      </c>
      <c r="N207" s="10">
        <v>2.4934999999999999E-2</v>
      </c>
      <c r="O207" s="10">
        <v>3.97335776E-2</v>
      </c>
      <c r="P207" s="10">
        <v>3.9575631600000008E-2</v>
      </c>
      <c r="Q207" s="10">
        <v>3.9523220800000002E-2</v>
      </c>
      <c r="R207" s="10">
        <v>3.91321876E-2</v>
      </c>
      <c r="S207" s="10">
        <v>3.8743220800000006E-2</v>
      </c>
    </row>
    <row r="208" spans="1:19" x14ac:dyDescent="0.25">
      <c r="A208" t="s">
        <v>42</v>
      </c>
      <c r="B208" t="s">
        <v>56</v>
      </c>
      <c r="C208" t="s">
        <v>59</v>
      </c>
      <c r="G208" s="10">
        <v>3.8974999999999996E-2</v>
      </c>
      <c r="H208" s="10">
        <v>3.7870000000000001E-2</v>
      </c>
      <c r="I208" s="10">
        <v>3.6830000000000002E-2</v>
      </c>
      <c r="J208" s="10">
        <v>3.4814999999999999E-2</v>
      </c>
      <c r="K208" s="10">
        <v>3.2670000000000005E-2</v>
      </c>
      <c r="L208" s="10">
        <v>2.9485000000000001E-2</v>
      </c>
      <c r="M208" s="10">
        <v>2.734E-2</v>
      </c>
      <c r="N208" s="10">
        <v>2.4934999999999999E-2</v>
      </c>
      <c r="O208" s="10">
        <v>3.97335776E-2</v>
      </c>
      <c r="P208" s="10">
        <v>3.9575631600000008E-2</v>
      </c>
      <c r="Q208" s="10">
        <v>3.9523220800000002E-2</v>
      </c>
      <c r="R208" s="10">
        <v>3.91321876E-2</v>
      </c>
      <c r="S208" s="10">
        <v>3.8743220800000006E-2</v>
      </c>
    </row>
    <row r="209" spans="1:19" x14ac:dyDescent="0.25">
      <c r="A209" t="s">
        <v>42</v>
      </c>
      <c r="B209" t="s">
        <v>56</v>
      </c>
      <c r="C209" t="s">
        <v>60</v>
      </c>
      <c r="G209" s="10">
        <v>3.8974999999999996E-2</v>
      </c>
      <c r="H209" s="10">
        <v>3.7870000000000001E-2</v>
      </c>
      <c r="I209" s="10">
        <v>3.6830000000000002E-2</v>
      </c>
      <c r="J209" s="10">
        <v>3.4814999999999999E-2</v>
      </c>
      <c r="K209" s="10">
        <v>3.2670000000000005E-2</v>
      </c>
      <c r="L209" s="10">
        <v>2.9485000000000001E-2</v>
      </c>
      <c r="M209" s="10">
        <v>2.734E-2</v>
      </c>
      <c r="N209" s="10">
        <v>2.4934999999999999E-2</v>
      </c>
      <c r="O209" s="10">
        <v>3.97335776E-2</v>
      </c>
      <c r="P209" s="10">
        <v>3.9575631600000008E-2</v>
      </c>
      <c r="Q209" s="10">
        <v>3.9523220800000002E-2</v>
      </c>
      <c r="R209" s="10">
        <v>3.91321876E-2</v>
      </c>
      <c r="S209" s="10">
        <v>3.8743220800000006E-2</v>
      </c>
    </row>
    <row r="212" spans="1:19" x14ac:dyDescent="0.25">
      <c r="A212" s="16" t="s">
        <v>89</v>
      </c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</row>
    <row r="213" spans="1:19" ht="63.75" x14ac:dyDescent="0.25">
      <c r="A213" t="s">
        <v>90</v>
      </c>
      <c r="E213" s="56" t="s">
        <v>91</v>
      </c>
      <c r="F213" s="56" t="s">
        <v>92</v>
      </c>
      <c r="G213" s="56" t="s">
        <v>93</v>
      </c>
    </row>
    <row r="214" spans="1:19" x14ac:dyDescent="0.25">
      <c r="A214" t="s">
        <v>11</v>
      </c>
      <c r="E214">
        <v>30.2</v>
      </c>
      <c r="F214" s="17">
        <v>0.91</v>
      </c>
      <c r="G214" s="17">
        <v>0.3</v>
      </c>
    </row>
    <row r="215" spans="1:19" x14ac:dyDescent="0.25">
      <c r="A215" t="s">
        <v>17</v>
      </c>
      <c r="E215">
        <v>22.1</v>
      </c>
      <c r="F215" s="17">
        <v>0.98</v>
      </c>
      <c r="G215" s="17">
        <v>0.8</v>
      </c>
    </row>
    <row r="216" spans="1:19" x14ac:dyDescent="0.25">
      <c r="A216" t="s">
        <v>30</v>
      </c>
      <c r="E216">
        <v>22.1</v>
      </c>
      <c r="F216" s="17">
        <v>0.98</v>
      </c>
      <c r="G216" s="17">
        <v>0.8</v>
      </c>
    </row>
    <row r="217" spans="1:19" x14ac:dyDescent="0.25">
      <c r="A217" t="s">
        <v>42</v>
      </c>
      <c r="E217">
        <v>30.2</v>
      </c>
      <c r="F217" s="17">
        <v>0.91</v>
      </c>
      <c r="G217" s="17">
        <v>0.46</v>
      </c>
    </row>
  </sheetData>
  <hyperlinks>
    <hyperlink ref="A3" r:id="rId1" display="https://www.ofgem.gov.uk/publications/et2-price-control-financial-model" xr:uid="{110C227F-49F4-495D-953E-CA4040D7B39F}"/>
    <hyperlink ref="A4" r:id="rId2" display="https://www.ofgem.gov.uk/publications/gd2-price-control-financial-model" xr:uid="{4904F718-2C4E-45FA-8947-4497F5A7C65A}"/>
    <hyperlink ref="A5" r:id="rId3" display="https://www.ofgem.gov.uk/publications/gt2-price-control-financial-model" xr:uid="{396AC5A9-6945-4D3F-9657-4C8C0759DF1B}"/>
    <hyperlink ref="A53" r:id="rId4" display="https://www.ofgem.gov.uk/publications/decision-proposed-modifications-riio-2-electricity-distribution-licences" xr:uid="{3DB4FE79-6CA8-45B6-A9A7-9146121CF2EB}"/>
    <hyperlink ref="A54" r:id="rId5" xr:uid="{C73162F6-1143-4CC7-B263-83BC87D318BE}"/>
    <hyperlink ref="A75" r:id="rId6" display="https://obr.uk/efo/economic-and-fiscal-outlook-march-2023/" xr:uid="{A2DC660C-5894-4B3C-BBDF-E28F711EAB97}"/>
    <hyperlink ref="A91" r:id="rId7" display="https://www.ons.gov.uk/economy/inflationandpriceindices/datasets/consumerpriceinflation" xr:uid="{B5228EF7-15F2-4969-8E46-44F018415461}"/>
  </hyperlinks>
  <pageMargins left="0.7" right="0.7" top="0.75" bottom="0.75" header="0.3" footer="0.3"/>
  <pageSetup paperSize="9" orientation="portrait" r:id="rId8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BCBF1-3211-4377-8CB8-6D9FA3D30F11}">
  <sheetPr>
    <pageSetUpPr autoPageBreaks="0"/>
  </sheetPr>
  <dimension ref="A1:N17"/>
  <sheetViews>
    <sheetView zoomScaleNormal="100" workbookViewId="0"/>
  </sheetViews>
  <sheetFormatPr defaultRowHeight="15" x14ac:dyDescent="0.25"/>
  <cols>
    <col min="1" max="1" width="5.85546875" customWidth="1"/>
    <col min="2" max="2" width="6.7109375" customWidth="1"/>
    <col min="3" max="3" width="26.140625" style="20" customWidth="1"/>
    <col min="4" max="4" width="59.140625" customWidth="1"/>
  </cols>
  <sheetData>
    <row r="1" spans="1:14" x14ac:dyDescent="0.25">
      <c r="A1" t="s">
        <v>94</v>
      </c>
    </row>
    <row r="2" spans="1:14" x14ac:dyDescent="0.25">
      <c r="B2" s="2"/>
      <c r="C2" s="19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t="s">
        <v>95</v>
      </c>
      <c r="B3" s="21">
        <v>100</v>
      </c>
      <c r="C3" s="20" t="s">
        <v>96</v>
      </c>
    </row>
    <row r="5" spans="1:14" x14ac:dyDescent="0.25">
      <c r="A5" t="s">
        <v>97</v>
      </c>
      <c r="B5" s="24">
        <v>1.06</v>
      </c>
      <c r="C5" s="20" t="s">
        <v>98</v>
      </c>
    </row>
    <row r="6" spans="1:14" ht="17.25" x14ac:dyDescent="0.25">
      <c r="A6" t="s">
        <v>99</v>
      </c>
      <c r="B6" s="21">
        <v>1.02</v>
      </c>
      <c r="C6" s="20" t="s">
        <v>100</v>
      </c>
    </row>
    <row r="8" spans="1:14" x14ac:dyDescent="0.25">
      <c r="A8" t="s">
        <v>101</v>
      </c>
      <c r="B8" s="66">
        <f>B3*(B5-B6)</f>
        <v>4.0000000000000036</v>
      </c>
      <c r="C8" s="20" t="s">
        <v>102</v>
      </c>
      <c r="D8" t="s">
        <v>103</v>
      </c>
      <c r="E8" s="28"/>
    </row>
    <row r="10" spans="1:14" x14ac:dyDescent="0.25">
      <c r="A10" t="s">
        <v>104</v>
      </c>
      <c r="B10" s="22">
        <v>0.6</v>
      </c>
      <c r="C10" s="20" t="s">
        <v>105</v>
      </c>
    </row>
    <row r="11" spans="1:14" x14ac:dyDescent="0.25">
      <c r="A11" t="s">
        <v>106</v>
      </c>
      <c r="B11" s="22">
        <v>0.25</v>
      </c>
      <c r="C11" s="20" t="s">
        <v>107</v>
      </c>
    </row>
    <row r="13" spans="1:14" x14ac:dyDescent="0.25">
      <c r="A13" t="s">
        <v>108</v>
      </c>
      <c r="B13" s="66">
        <f>B10*B11*B8</f>
        <v>0.60000000000000053</v>
      </c>
      <c r="C13" s="20" t="s">
        <v>109</v>
      </c>
      <c r="D13" t="s">
        <v>110</v>
      </c>
      <c r="E13" s="28"/>
    </row>
    <row r="14" spans="1:14" x14ac:dyDescent="0.25">
      <c r="A14" t="s">
        <v>111</v>
      </c>
      <c r="B14" s="66">
        <f>B8*(1-B10*B11)</f>
        <v>3.400000000000003</v>
      </c>
      <c r="C14" s="20" t="s">
        <v>112</v>
      </c>
      <c r="D14" t="s">
        <v>113</v>
      </c>
      <c r="E14" s="28"/>
    </row>
    <row r="15" spans="1:14" x14ac:dyDescent="0.25">
      <c r="A15" t="s">
        <v>114</v>
      </c>
      <c r="B15" s="66">
        <f>B8*(1-B10)</f>
        <v>1.6000000000000014</v>
      </c>
      <c r="C15" s="20" t="s">
        <v>115</v>
      </c>
      <c r="D15" t="s">
        <v>116</v>
      </c>
      <c r="I15" s="28"/>
    </row>
    <row r="17" spans="1:4" x14ac:dyDescent="0.25">
      <c r="A17" t="s">
        <v>117</v>
      </c>
      <c r="B17" s="23">
        <f>B8*B10*(1-B11)</f>
        <v>1.8000000000000016</v>
      </c>
      <c r="C17" s="20" t="s">
        <v>118</v>
      </c>
      <c r="D17" t="s">
        <v>119</v>
      </c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35A2F-DE34-46C6-B9F4-8396BC82D36F}">
  <sheetPr>
    <pageSetUpPr autoPageBreaks="0"/>
  </sheetPr>
  <dimension ref="A2:P42"/>
  <sheetViews>
    <sheetView zoomScaleNormal="100" workbookViewId="0"/>
  </sheetViews>
  <sheetFormatPr defaultRowHeight="15" x14ac:dyDescent="0.25"/>
  <cols>
    <col min="1" max="1" width="7" customWidth="1"/>
    <col min="2" max="4" width="6.7109375" customWidth="1"/>
    <col min="5" max="5" width="23" style="20" customWidth="1"/>
    <col min="6" max="6" width="37.140625" customWidth="1"/>
  </cols>
  <sheetData>
    <row r="2" spans="1:16" x14ac:dyDescent="0.25">
      <c r="B2" s="2">
        <v>0</v>
      </c>
      <c r="C2" s="2">
        <v>1</v>
      </c>
      <c r="D2" s="2">
        <v>2</v>
      </c>
      <c r="E2" s="19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t="s">
        <v>95</v>
      </c>
      <c r="B3" s="21">
        <v>100</v>
      </c>
      <c r="C3" s="21">
        <v>110</v>
      </c>
      <c r="D3" s="21">
        <v>120</v>
      </c>
      <c r="E3" s="20" t="s">
        <v>120</v>
      </c>
    </row>
    <row r="4" spans="1:16" x14ac:dyDescent="0.25">
      <c r="E4"/>
    </row>
    <row r="5" spans="1:16" x14ac:dyDescent="0.25">
      <c r="A5" t="s">
        <v>97</v>
      </c>
      <c r="B5" s="21">
        <v>1</v>
      </c>
      <c r="C5" s="21">
        <v>1.06</v>
      </c>
      <c r="D5" s="21">
        <v>1.06</v>
      </c>
      <c r="E5" s="20" t="s">
        <v>98</v>
      </c>
      <c r="F5" t="s">
        <v>121</v>
      </c>
      <c r="J5" s="2"/>
    </row>
    <row r="6" spans="1:16" ht="17.25" x14ac:dyDescent="0.25">
      <c r="A6" t="s">
        <v>99</v>
      </c>
      <c r="B6" s="21">
        <v>1</v>
      </c>
      <c r="C6" s="21">
        <v>1.02</v>
      </c>
      <c r="D6" s="21">
        <v>1.02</v>
      </c>
      <c r="E6" s="20" t="s">
        <v>100</v>
      </c>
      <c r="F6" t="s">
        <v>122</v>
      </c>
    </row>
    <row r="7" spans="1:16" x14ac:dyDescent="0.25">
      <c r="A7" t="s">
        <v>123</v>
      </c>
      <c r="B7" s="67">
        <f>PRODUCT($B5:B5)</f>
        <v>1</v>
      </c>
      <c r="C7" s="67">
        <f>PRODUCT($B5:C5)</f>
        <v>1.06</v>
      </c>
      <c r="D7" s="67">
        <f>PRODUCT($B5:D5)</f>
        <v>1.1236000000000002</v>
      </c>
      <c r="E7" s="20" t="s">
        <v>124</v>
      </c>
      <c r="F7" t="s">
        <v>125</v>
      </c>
    </row>
    <row r="8" spans="1:16" x14ac:dyDescent="0.25">
      <c r="C8" s="9"/>
      <c r="D8" s="9"/>
      <c r="E8"/>
    </row>
    <row r="9" spans="1:16" ht="17.25" customHeight="1" x14ac:dyDescent="0.35">
      <c r="A9" t="s">
        <v>126</v>
      </c>
      <c r="B9" s="31"/>
      <c r="C9" s="68">
        <f>(C3-B3)*C7</f>
        <v>10.600000000000001</v>
      </c>
      <c r="D9" s="68">
        <f t="shared" ref="D9" si="0">(D3-C3)*D7</f>
        <v>11.236000000000001</v>
      </c>
      <c r="E9" s="20" t="s">
        <v>127</v>
      </c>
      <c r="F9" t="s">
        <v>128</v>
      </c>
    </row>
    <row r="10" spans="1:16" x14ac:dyDescent="0.25">
      <c r="C10" s="1"/>
      <c r="D10" s="1"/>
      <c r="E10"/>
    </row>
    <row r="11" spans="1:16" ht="17.25" x14ac:dyDescent="0.25">
      <c r="A11" t="s">
        <v>129</v>
      </c>
      <c r="B11" s="68">
        <f>B3*B7</f>
        <v>100</v>
      </c>
      <c r="C11" s="68">
        <f>C3*C7</f>
        <v>116.60000000000001</v>
      </c>
      <c r="D11" s="68">
        <f t="shared" ref="D11" si="1">D3*D7</f>
        <v>134.83200000000002</v>
      </c>
      <c r="E11" s="20" t="s">
        <v>130</v>
      </c>
      <c r="F11" t="s">
        <v>131</v>
      </c>
    </row>
    <row r="12" spans="1:16" ht="17.25" x14ac:dyDescent="0.25">
      <c r="A12" t="s">
        <v>132</v>
      </c>
      <c r="B12" s="68">
        <f>B3</f>
        <v>100</v>
      </c>
      <c r="C12" s="68">
        <f>B12*C6+C9</f>
        <v>112.6</v>
      </c>
      <c r="D12" s="68">
        <f>C12*D6+D9</f>
        <v>126.08799999999999</v>
      </c>
      <c r="E12" s="20" t="s">
        <v>133</v>
      </c>
      <c r="F12" t="s">
        <v>134</v>
      </c>
    </row>
    <row r="13" spans="1:16" x14ac:dyDescent="0.25">
      <c r="B13" s="34"/>
      <c r="C13" s="34"/>
      <c r="D13" s="34"/>
      <c r="E13"/>
    </row>
    <row r="14" spans="1:16" x14ac:dyDescent="0.25">
      <c r="A14" t="s">
        <v>101</v>
      </c>
      <c r="B14" s="31"/>
      <c r="C14" s="68">
        <f>(C11-C12)-(B11-B12)</f>
        <v>4.0000000000000142</v>
      </c>
      <c r="D14" s="68">
        <f t="shared" ref="D14" si="2">(D11-D12)-(C11-C12)</f>
        <v>4.744000000000014</v>
      </c>
      <c r="E14" s="20" t="s">
        <v>135</v>
      </c>
      <c r="F14" t="s">
        <v>136</v>
      </c>
    </row>
    <row r="15" spans="1:16" x14ac:dyDescent="0.25">
      <c r="C15" s="1"/>
      <c r="D15" s="1"/>
    </row>
    <row r="16" spans="1:16" x14ac:dyDescent="0.25">
      <c r="A16" t="s">
        <v>104</v>
      </c>
      <c r="B16" s="31"/>
      <c r="C16" s="22">
        <v>0.6</v>
      </c>
      <c r="D16" s="22">
        <v>0.6</v>
      </c>
      <c r="E16" s="20" t="s">
        <v>105</v>
      </c>
    </row>
    <row r="17" spans="1:5" x14ac:dyDescent="0.25">
      <c r="A17" t="s">
        <v>106</v>
      </c>
      <c r="B17" s="31"/>
      <c r="C17" s="22">
        <v>0.25</v>
      </c>
      <c r="D17" s="22">
        <v>0.25</v>
      </c>
      <c r="E17" s="20" t="s">
        <v>107</v>
      </c>
    </row>
    <row r="19" spans="1:5" x14ac:dyDescent="0.25">
      <c r="A19" t="s">
        <v>108</v>
      </c>
      <c r="B19" s="31"/>
      <c r="C19" s="69">
        <f t="shared" ref="C19:D19" si="3">C16*C17*C14</f>
        <v>0.60000000000000209</v>
      </c>
      <c r="D19" s="69">
        <f t="shared" si="3"/>
        <v>0.71160000000000212</v>
      </c>
      <c r="E19" s="20" t="s">
        <v>109</v>
      </c>
    </row>
    <row r="20" spans="1:5" x14ac:dyDescent="0.25">
      <c r="A20" t="s">
        <v>111</v>
      </c>
      <c r="B20" s="31"/>
      <c r="C20" s="69">
        <f t="shared" ref="C20:D20" si="4">C14*(1-C16*C17)</f>
        <v>3.4000000000000119</v>
      </c>
      <c r="D20" s="69">
        <f t="shared" si="4"/>
        <v>4.0324000000000115</v>
      </c>
      <c r="E20" s="20" t="s">
        <v>112</v>
      </c>
    </row>
    <row r="21" spans="1:5" x14ac:dyDescent="0.25">
      <c r="A21" t="s">
        <v>114</v>
      </c>
      <c r="B21" s="31"/>
      <c r="C21" s="69">
        <f t="shared" ref="C21:D21" si="5">C14*(1-C16)</f>
        <v>1.6000000000000059</v>
      </c>
      <c r="D21" s="69">
        <f t="shared" si="5"/>
        <v>1.8976000000000057</v>
      </c>
      <c r="E21" s="20" t="s">
        <v>115</v>
      </c>
    </row>
    <row r="22" spans="1:5" x14ac:dyDescent="0.25">
      <c r="C22" s="12"/>
      <c r="D22" s="12"/>
      <c r="E22"/>
    </row>
    <row r="23" spans="1:5" x14ac:dyDescent="0.25">
      <c r="A23" t="s">
        <v>117</v>
      </c>
      <c r="B23" s="31"/>
      <c r="C23" s="39">
        <f>C14*C16*(1-C17)</f>
        <v>1.8000000000000063</v>
      </c>
      <c r="D23" s="39">
        <f t="shared" ref="D23" si="6">D14*D16*(1-D17)</f>
        <v>2.1348000000000065</v>
      </c>
      <c r="E23" s="20" t="s">
        <v>118</v>
      </c>
    </row>
    <row r="25" spans="1:5" x14ac:dyDescent="0.25">
      <c r="E25"/>
    </row>
    <row r="26" spans="1:5" x14ac:dyDescent="0.25">
      <c r="E26"/>
    </row>
    <row r="27" spans="1:5" x14ac:dyDescent="0.25">
      <c r="E27"/>
    </row>
    <row r="28" spans="1:5" x14ac:dyDescent="0.25">
      <c r="E28"/>
    </row>
    <row r="29" spans="1:5" x14ac:dyDescent="0.25">
      <c r="E29"/>
    </row>
    <row r="30" spans="1:5" x14ac:dyDescent="0.25">
      <c r="E30"/>
    </row>
    <row r="31" spans="1:5" x14ac:dyDescent="0.25">
      <c r="E31"/>
    </row>
    <row r="32" spans="1:5" x14ac:dyDescent="0.25">
      <c r="E32"/>
    </row>
    <row r="33" spans="5:5" x14ac:dyDescent="0.25">
      <c r="E33"/>
    </row>
    <row r="34" spans="5:5" x14ac:dyDescent="0.25">
      <c r="E34"/>
    </row>
    <row r="35" spans="5:5" x14ac:dyDescent="0.25">
      <c r="E35"/>
    </row>
    <row r="36" spans="5:5" x14ac:dyDescent="0.25">
      <c r="E36"/>
    </row>
    <row r="37" spans="5:5" x14ac:dyDescent="0.25">
      <c r="E37"/>
    </row>
    <row r="38" spans="5:5" x14ac:dyDescent="0.25">
      <c r="E38"/>
    </row>
    <row r="39" spans="5:5" x14ac:dyDescent="0.25">
      <c r="E39"/>
    </row>
    <row r="40" spans="5:5" x14ac:dyDescent="0.25">
      <c r="E40"/>
    </row>
    <row r="41" spans="5:5" x14ac:dyDescent="0.25">
      <c r="E41"/>
    </row>
    <row r="42" spans="5:5" x14ac:dyDescent="0.25">
      <c r="E42"/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ignoredErrors>
    <ignoredError sqref="C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D2522-C7E4-43AA-85A4-337A3253EFF7}">
  <sheetPr>
    <pageSetUpPr autoPageBreaks="0"/>
  </sheetPr>
  <dimension ref="A1:S57"/>
  <sheetViews>
    <sheetView zoomScaleNormal="100" workbookViewId="0"/>
  </sheetViews>
  <sheetFormatPr defaultRowHeight="15" x14ac:dyDescent="0.25"/>
  <sheetData>
    <row r="1" spans="1:19" x14ac:dyDescent="0.25">
      <c r="A1" t="s">
        <v>137</v>
      </c>
      <c r="I1" s="8">
        <v>1</v>
      </c>
      <c r="J1" s="8" t="s">
        <v>138</v>
      </c>
      <c r="K1" s="8"/>
    </row>
    <row r="2" spans="1:19" x14ac:dyDescent="0.25">
      <c r="I2" s="8"/>
      <c r="J2" s="8" t="s">
        <v>139</v>
      </c>
      <c r="K2" s="8"/>
    </row>
    <row r="3" spans="1:19" x14ac:dyDescent="0.25">
      <c r="A3" s="11" t="s">
        <v>140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 x14ac:dyDescent="0.25">
      <c r="A5" s="2" t="s">
        <v>141</v>
      </c>
    </row>
    <row r="6" spans="1:19" x14ac:dyDescent="0.25">
      <c r="A6" s="2"/>
    </row>
    <row r="7" spans="1:19" x14ac:dyDescent="0.25">
      <c r="D7" s="29">
        <v>2013</v>
      </c>
      <c r="E7" s="29">
        <v>2014</v>
      </c>
      <c r="F7" s="29">
        <v>2015</v>
      </c>
      <c r="G7" s="29">
        <v>2016</v>
      </c>
      <c r="H7" s="29">
        <v>2017</v>
      </c>
      <c r="I7" s="29">
        <v>2018</v>
      </c>
      <c r="J7" s="29">
        <v>2019</v>
      </c>
      <c r="K7" s="29">
        <v>2020</v>
      </c>
      <c r="L7" s="29">
        <v>2021</v>
      </c>
      <c r="M7" s="29">
        <v>2022</v>
      </c>
      <c r="N7" s="29">
        <v>2023</v>
      </c>
      <c r="O7" s="29">
        <v>2024</v>
      </c>
      <c r="P7" s="29">
        <v>2025</v>
      </c>
      <c r="Q7" s="29">
        <v>2026</v>
      </c>
    </row>
    <row r="8" spans="1:19" x14ac:dyDescent="0.25">
      <c r="D8" s="18">
        <f>Data!D79</f>
        <v>3.0897791510129599E-2</v>
      </c>
      <c r="E8" s="18">
        <f>Data!E79</f>
        <v>2.8847791287762714E-2</v>
      </c>
      <c r="F8" s="18">
        <f>Data!F79</f>
        <v>1.9597457627118731E-2</v>
      </c>
      <c r="G8" s="18">
        <f>Data!G79</f>
        <v>1.0779220779220777E-2</v>
      </c>
      <c r="H8" s="18">
        <f>Data!H79</f>
        <v>2.1424900424001248E-2</v>
      </c>
      <c r="I8" s="18">
        <f>Data!I79</f>
        <v>3.7422560457875953E-2</v>
      </c>
      <c r="J8" s="18">
        <f>Data!J79</f>
        <v>3.0555639758707454E-2</v>
      </c>
      <c r="K8" s="18">
        <f>Data!K79</f>
        <v>2.5884636879724532E-2</v>
      </c>
      <c r="L8" s="18">
        <f>Data!L79</f>
        <v>1.2128336726209277E-2</v>
      </c>
      <c r="M8" s="18">
        <f>Data!M79</f>
        <v>4.4741803886011677E-2</v>
      </c>
      <c r="N8" s="18">
        <f>Data!N79</f>
        <v>8.7741270075143651E-2</v>
      </c>
      <c r="O8" s="42">
        <f>IF($I$1=1,Data!O$79,Data!O$98)</f>
        <v>4.1361427354311697E-2</v>
      </c>
      <c r="P8" s="42">
        <f>IF($I$1=1,Data!P$79,Data!P$98)</f>
        <v>6.0915819839344465E-3</v>
      </c>
      <c r="Q8" s="42">
        <f>IF($I$1=1,Data!Q$79,Data!Q$98)</f>
        <v>-2.2221369385422296E-4</v>
      </c>
    </row>
    <row r="9" spans="1:19" x14ac:dyDescent="0.25">
      <c r="C9" s="20" t="s">
        <v>142</v>
      </c>
      <c r="D9" s="9">
        <v>1</v>
      </c>
      <c r="E9" s="9">
        <f>D9*(1+E8)</f>
        <v>1.0288477912877627</v>
      </c>
      <c r="F9" s="9">
        <f t="shared" ref="F9:Q9" si="0">E9*(1+F8)</f>
        <v>1.0490105922822794</v>
      </c>
      <c r="G9" s="9">
        <f t="shared" si="0"/>
        <v>1.0603181090562313</v>
      </c>
      <c r="H9" s="9">
        <f>G9*(1+H8)</f>
        <v>1.0830353189605264</v>
      </c>
      <c r="I9" s="9">
        <f t="shared" si="0"/>
        <v>1.1235652736623416</v>
      </c>
      <c r="J9" s="9">
        <f t="shared" si="0"/>
        <v>1.1578965294097616</v>
      </c>
      <c r="K9" s="9">
        <f t="shared" si="0"/>
        <v>1.1878682606178266</v>
      </c>
      <c r="L9" s="9">
        <f t="shared" si="0"/>
        <v>1.2022751268689762</v>
      </c>
      <c r="M9" s="9">
        <f t="shared" si="0"/>
        <v>1.2560670848123778</v>
      </c>
      <c r="N9" s="9">
        <f t="shared" si="0"/>
        <v>1.3662760061333989</v>
      </c>
      <c r="O9" s="70">
        <f t="shared" si="0"/>
        <v>1.4227871319070247</v>
      </c>
      <c r="P9" s="70">
        <f t="shared" si="0"/>
        <v>1.4314541563667234</v>
      </c>
      <c r="Q9" s="70">
        <f t="shared" si="0"/>
        <v>1.4311360676510541</v>
      </c>
    </row>
    <row r="11" spans="1:19" x14ac:dyDescent="0.25">
      <c r="A11" s="2" t="s">
        <v>143</v>
      </c>
    </row>
    <row r="12" spans="1:19" x14ac:dyDescent="0.25">
      <c r="A12" s="2"/>
    </row>
    <row r="13" spans="1:19" x14ac:dyDescent="0.25">
      <c r="D13" s="29">
        <v>2013</v>
      </c>
      <c r="E13" s="29">
        <v>2014</v>
      </c>
      <c r="F13" s="29">
        <v>2015</v>
      </c>
      <c r="G13" s="29">
        <v>2016</v>
      </c>
      <c r="H13" s="29">
        <v>2017</v>
      </c>
      <c r="I13" s="29">
        <v>2018</v>
      </c>
      <c r="J13" s="29">
        <v>2019</v>
      </c>
      <c r="K13" s="29">
        <v>2020</v>
      </c>
      <c r="L13" s="29">
        <v>2021</v>
      </c>
      <c r="M13" s="29">
        <v>2022</v>
      </c>
      <c r="N13" s="29">
        <v>2023</v>
      </c>
      <c r="O13" s="29">
        <v>2024</v>
      </c>
      <c r="P13" s="29">
        <v>2025</v>
      </c>
      <c r="Q13" s="29">
        <v>2026</v>
      </c>
    </row>
    <row r="14" spans="1:19" x14ac:dyDescent="0.25">
      <c r="D14" s="31"/>
      <c r="E14" s="42">
        <f>Data!E174</f>
        <v>2.8251081257694887E-2</v>
      </c>
      <c r="F14" s="42">
        <f>Data!F174</f>
        <v>2.8870453640292251E-2</v>
      </c>
      <c r="G14" s="42">
        <f>Data!G174</f>
        <v>2.91379435497808E-2</v>
      </c>
      <c r="H14" s="42">
        <f>Data!H174</f>
        <v>2.931377773241672E-2</v>
      </c>
      <c r="I14" s="42">
        <f>Data!I174</f>
        <v>2.920062418718326E-2</v>
      </c>
      <c r="J14" s="42">
        <f>Data!J174</f>
        <v>2.9469310186499131E-2</v>
      </c>
      <c r="K14" s="42">
        <f>Data!K174</f>
        <v>2.9414005973077119E-2</v>
      </c>
      <c r="L14" s="42">
        <f>Data!L174</f>
        <v>3.0413012391426901E-2</v>
      </c>
      <c r="M14" s="42">
        <f>Data!M174</f>
        <v>2.0026831362878507E-2</v>
      </c>
      <c r="N14" s="42">
        <f>Data!N174</f>
        <v>2.0025363310294149E-2</v>
      </c>
      <c r="O14" s="42">
        <f>Data!O174</f>
        <v>2.0023251147789283E-2</v>
      </c>
      <c r="P14" s="42">
        <f>Data!P174</f>
        <v>1.9756760731006896E-2</v>
      </c>
      <c r="Q14" s="42">
        <f>Data!Q174</f>
        <v>1.9774168938369044E-2</v>
      </c>
    </row>
    <row r="15" spans="1:19" x14ac:dyDescent="0.25">
      <c r="C15" s="20" t="s">
        <v>144</v>
      </c>
      <c r="D15" s="9">
        <v>1</v>
      </c>
      <c r="E15" s="70">
        <f>D15*(1+E$14)</f>
        <v>1.0282510812576948</v>
      </c>
      <c r="F15" s="70">
        <f t="shared" ref="F15:Q15" si="1">E15*(1+F$14)</f>
        <v>1.0579371564297253</v>
      </c>
      <c r="G15" s="70">
        <f t="shared" si="1"/>
        <v>1.0887632695729901</v>
      </c>
      <c r="H15" s="70">
        <f t="shared" si="1"/>
        <v>1.120679034060472</v>
      </c>
      <c r="I15" s="70">
        <f t="shared" si="1"/>
        <v>1.1534035613685272</v>
      </c>
      <c r="J15" s="70">
        <f t="shared" si="1"/>
        <v>1.1873935686887092</v>
      </c>
      <c r="K15" s="70">
        <f t="shared" si="1"/>
        <v>1.2223195702105123</v>
      </c>
      <c r="L15" s="70">
        <f t="shared" si="1"/>
        <v>1.2594939904456082</v>
      </c>
      <c r="M15" s="70">
        <f t="shared" si="1"/>
        <v>1.2847176641948213</v>
      </c>
      <c r="N15" s="70">
        <f t="shared" si="1"/>
        <v>1.3104446021714751</v>
      </c>
      <c r="O15" s="70">
        <f t="shared" si="1"/>
        <v>1.3366839635560195</v>
      </c>
      <c r="P15" s="70">
        <f t="shared" si="1"/>
        <v>1.3630925087969699</v>
      </c>
      <c r="Q15" s="70">
        <f t="shared" si="1"/>
        <v>1.3900465303445464</v>
      </c>
    </row>
    <row r="17" spans="1:19" x14ac:dyDescent="0.25">
      <c r="A17" s="2" t="s">
        <v>145</v>
      </c>
    </row>
    <row r="18" spans="1:19" x14ac:dyDescent="0.25">
      <c r="A18" s="2"/>
    </row>
    <row r="19" spans="1:19" x14ac:dyDescent="0.25">
      <c r="A19" t="s">
        <v>146</v>
      </c>
      <c r="D19" s="9">
        <f>Data!$D$78/Data!$J$78</f>
        <v>0.8636350266199958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25">
      <c r="A20" t="s">
        <v>147</v>
      </c>
      <c r="D20" s="34">
        <f>E20</f>
        <v>33533.876506783017</v>
      </c>
      <c r="E20" s="1">
        <f>$D$19*SUM(Data!E38:E50)</f>
        <v>33533.876506783017</v>
      </c>
      <c r="F20" s="1">
        <f>$D$19*SUM(Data!F38:F50)</f>
        <v>34335.966946604145</v>
      </c>
      <c r="G20" s="1">
        <f>$D$19*SUM(Data!G38:G50)</f>
        <v>35268.299523800633</v>
      </c>
      <c r="H20" s="1">
        <f>$D$19*SUM(Data!H38:H50)</f>
        <v>36219.098309216861</v>
      </c>
      <c r="I20" s="1">
        <f>$D$19*SUM(Data!I38:I50)</f>
        <v>37240.014881151998</v>
      </c>
      <c r="J20" s="1">
        <f>$D$19*SUM(Data!J38:J50)</f>
        <v>37770.932725227081</v>
      </c>
      <c r="K20" s="1">
        <f>$D$19*SUM(Data!K38:K50)</f>
        <v>38207.833567038128</v>
      </c>
      <c r="L20" s="1">
        <f>$D$19*SUM(Data!L38:L50)</f>
        <v>38653.123022277294</v>
      </c>
      <c r="M20" s="1">
        <f>$D$19*SUM(Data!M38:M50)</f>
        <v>39209.911572996709</v>
      </c>
      <c r="N20" s="1">
        <f>$D$19*SUM(Data!N38:N50)</f>
        <v>40034.875314835015</v>
      </c>
      <c r="O20" s="1">
        <f>$D$19*SUM(Data!O38:O50)</f>
        <v>41040.644192295636</v>
      </c>
      <c r="P20" s="1">
        <f>$D$19*SUM(Data!P38:P50)</f>
        <v>42198.743813324429</v>
      </c>
      <c r="Q20" s="1">
        <f>$D$19*SUM(Data!Q38:Q50)</f>
        <v>43361.56884716951</v>
      </c>
      <c r="R20" s="1"/>
      <c r="S20" s="1"/>
    </row>
    <row r="21" spans="1:19" x14ac:dyDescent="0.25"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25">
      <c r="A22" s="2" t="s">
        <v>148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5">
      <c r="A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5">
      <c r="C24" t="s">
        <v>104</v>
      </c>
      <c r="E24" s="37">
        <f>SUMPRODUCT(Data!E38:E50,Data!E106:E118)/SUM(Data!E38:E50)</f>
        <v>0.62375878303016385</v>
      </c>
      <c r="F24" s="37">
        <f>SUMPRODUCT(Data!F38:F50,Data!F106:F118)/SUM(Data!F38:F50)</f>
        <v>0.62254182805466052</v>
      </c>
      <c r="G24" s="37">
        <f>SUMPRODUCT(Data!G38:G50,Data!G106:G118)/SUM(Data!G38:G50)</f>
        <v>0.62115739502233325</v>
      </c>
      <c r="H24" s="37">
        <f>SUMPRODUCT(Data!H38:H50,Data!H106:H118)/SUM(Data!H38:H50)</f>
        <v>0.61999636961277704</v>
      </c>
      <c r="I24" s="37">
        <f>SUMPRODUCT(Data!I38:I50,Data!I106:I118)/SUM(Data!I38:I50)</f>
        <v>0.6193506593546334</v>
      </c>
      <c r="J24" s="37">
        <f>SUMPRODUCT(Data!J38:J50,Data!J106:J118)/SUM(Data!J38:J50)</f>
        <v>0.61900553763794897</v>
      </c>
      <c r="K24" s="37">
        <f>SUMPRODUCT(Data!K38:K50,Data!K106:K118)/SUM(Data!K38:K50)</f>
        <v>0.6187702815512407</v>
      </c>
      <c r="L24" s="37">
        <f>SUMPRODUCT(Data!L38:L50,Data!L106:L118)/SUM(Data!L38:L50)</f>
        <v>0.61852305065458169</v>
      </c>
      <c r="M24" s="37">
        <f>SUMPRODUCT(Data!M38:M50,Data!M106:M118)/SUM(Data!M38:M50)</f>
        <v>0.57803331145214298</v>
      </c>
      <c r="N24" s="37">
        <f>SUMPRODUCT(Data!N38:N50,Data!N106:N118)/SUM(Data!N38:N50)</f>
        <v>0.577625099293124</v>
      </c>
      <c r="O24" s="37">
        <f>SUMPRODUCT(Data!O38:O50,Data!O106:O118)/SUM(Data!O38:O50)</f>
        <v>0.57714547056956023</v>
      </c>
      <c r="P24" s="37">
        <f>SUMPRODUCT(Data!P38:P50,Data!P106:P118)/SUM(Data!P38:P50)</f>
        <v>0.57656008276042781</v>
      </c>
      <c r="Q24" s="37">
        <f>SUMPRODUCT(Data!Q38:Q50,Data!Q106:Q118)/SUM(Data!Q38:Q50)</f>
        <v>0.5758758160344547</v>
      </c>
      <c r="R24" s="1"/>
      <c r="S24" s="1"/>
    </row>
    <row r="25" spans="1:19" x14ac:dyDescent="0.25">
      <c r="C25" t="s">
        <v>106</v>
      </c>
      <c r="E25" s="37">
        <f>SUMPRODUCT(Data!E38:E50,Data!E106:E118,Data!E140:E152)/SUMPRODUCT(Data!E38:E50,Data!E106:E118)</f>
        <v>0.23277576617155404</v>
      </c>
      <c r="F25" s="37">
        <f>SUMPRODUCT(Data!F38:F50,Data!F106:F118,Data!F140:F152)/SUMPRODUCT(Data!F38:F50,Data!F106:F118)</f>
        <v>0.23038332214317817</v>
      </c>
      <c r="G25" s="37">
        <f>SUMPRODUCT(Data!G38:G50,Data!G106:G118,Data!G140:G152)/SUMPRODUCT(Data!G38:G50,Data!G106:G118)</f>
        <v>0.22714610485222492</v>
      </c>
      <c r="H25" s="37">
        <f>SUMPRODUCT(Data!H38:H50,Data!H106:H118,Data!H140:H152)/SUMPRODUCT(Data!H38:H50,Data!H106:H118)</f>
        <v>0.22426148436770432</v>
      </c>
      <c r="I25" s="37">
        <f>SUMPRODUCT(Data!I38:I50,Data!I106:I118,Data!I140:I152)/SUMPRODUCT(Data!I38:I50,Data!I106:I118)</f>
        <v>0.22274791184417567</v>
      </c>
      <c r="J25" s="37">
        <f>SUMPRODUCT(Data!J38:J50,Data!J106:J118,Data!J140:J152)/SUMPRODUCT(Data!J38:J50,Data!J106:J118)</f>
        <v>0.22199491068607255</v>
      </c>
      <c r="K25" s="37">
        <f>SUMPRODUCT(Data!K38:K50,Data!K106:K118,Data!K140:K152)/SUMPRODUCT(Data!K38:K50,Data!K106:K118)</f>
        <v>0.2216383817211264</v>
      </c>
      <c r="L25" s="37">
        <f>SUMPRODUCT(Data!L38:L50,Data!L106:L118,Data!L140:L152)/SUMPRODUCT(Data!L38:L50,Data!L106:L118)</f>
        <v>0.22119838310730067</v>
      </c>
      <c r="M25" s="37">
        <f>SUMPRODUCT(Data!M38:M50,Data!M106:M118,Data!M140:M152)/SUMPRODUCT(Data!M38:M50,Data!M106:M118)</f>
        <v>0.29999999999999993</v>
      </c>
      <c r="N25" s="37">
        <f>SUMPRODUCT(Data!N38:N50,Data!N106:N118,Data!N140:N152)/SUMPRODUCT(Data!N38:N50,Data!N106:N118)</f>
        <v>0.29999999999999993</v>
      </c>
      <c r="O25" s="37">
        <f>SUMPRODUCT(Data!O38:O50,Data!O106:O118,Data!O140:O152)/SUMPRODUCT(Data!O38:O50,Data!O106:O118)</f>
        <v>0.3000000000000001</v>
      </c>
      <c r="P25" s="37">
        <f>SUMPRODUCT(Data!P38:P50,Data!P106:P118,Data!P140:P152)/SUMPRODUCT(Data!P38:P50,Data!P106:P118)</f>
        <v>0.3000000000000001</v>
      </c>
      <c r="Q25" s="37">
        <f>SUMPRODUCT(Data!Q38:Q50,Data!Q106:Q118,Data!Q140:Q152)/SUMPRODUCT(Data!Q38:Q50,Data!Q106:Q118)</f>
        <v>0.3000000000000001</v>
      </c>
      <c r="R25" s="1"/>
      <c r="S25" s="1"/>
    </row>
    <row r="26" spans="1:19" x14ac:dyDescent="0.25"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1"/>
      <c r="S26" s="1"/>
    </row>
    <row r="27" spans="1:19" x14ac:dyDescent="0.25">
      <c r="A27" s="2" t="s">
        <v>149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1"/>
      <c r="S27" s="1"/>
    </row>
    <row r="28" spans="1:19" x14ac:dyDescent="0.25">
      <c r="A28" s="2"/>
      <c r="E28" s="10">
        <f>SUMPRODUCT(Data!E182:E194,Data!E38:E50)/SUM(Data!E38:E50)</f>
        <v>4.3937449411933484E-2</v>
      </c>
      <c r="F28" s="10">
        <f>SUMPRODUCT(Data!F182:F194,Data!F38:F50)/SUM(Data!F38:F50)</f>
        <v>4.2707057012226921E-2</v>
      </c>
      <c r="G28" s="10">
        <f>SUMPRODUCT(Data!G182:G194,Data!G38:G50)/SUM(Data!G38:G50)</f>
        <v>4.1662249157349458E-2</v>
      </c>
      <c r="H28" s="10">
        <f>SUMPRODUCT(Data!H182:H194,Data!H38:H50)/SUM(Data!H38:H50)</f>
        <v>4.058582208900624E-2</v>
      </c>
      <c r="I28" s="10">
        <f>SUMPRODUCT(Data!I182:I194,Data!I38:I50)/SUM(Data!I38:I50)</f>
        <v>3.9567480403149322E-2</v>
      </c>
      <c r="J28" s="10">
        <f>SUMPRODUCT(Data!J182:J194,Data!J38:J50)/SUM(Data!J38:J50)</f>
        <v>3.7643182452758654E-2</v>
      </c>
      <c r="K28" s="10">
        <f>SUMPRODUCT(Data!K182:K194,Data!K38:K50)/SUM(Data!K38:K50)</f>
        <v>3.5677739761845094E-2</v>
      </c>
      <c r="L28" s="10">
        <f>SUMPRODUCT(Data!L182:L194,Data!L38:L50)/SUM(Data!L38:L50)</f>
        <v>3.4138521095454441E-2</v>
      </c>
      <c r="M28" s="10">
        <f>SUMPRODUCT(Data!M182:M194,Data!M38:M50)/SUM(Data!M38:M50)</f>
        <v>3.0335242299435128E-2</v>
      </c>
      <c r="N28" s="10">
        <f>SUMPRODUCT(Data!N182:N194,Data!N38:N50)/SUM(Data!N38:N50)</f>
        <v>2.9539414256789073E-2</v>
      </c>
      <c r="O28" s="10">
        <f>SUMPRODUCT(Data!O182:O194,Data!O38:O50)/SUM(Data!O38:O50)</f>
        <v>3.0763509025006464E-2</v>
      </c>
      <c r="P28" s="10">
        <f>SUMPRODUCT(Data!P182:P194,Data!P38:P50)/SUM(Data!P38:P50)</f>
        <v>3.1102160894537961E-2</v>
      </c>
      <c r="Q28" s="10">
        <f>SUMPRODUCT(Data!Q182:Q194,Data!Q38:Q50)/SUM(Data!Q38:Q50)</f>
        <v>3.1629593372891805E-2</v>
      </c>
      <c r="R28" s="1"/>
      <c r="S28" s="1"/>
    </row>
    <row r="29" spans="1:19" x14ac:dyDescent="0.25">
      <c r="R29" s="1"/>
      <c r="S29" s="1"/>
    </row>
    <row r="30" spans="1:19" x14ac:dyDescent="0.25">
      <c r="A30" s="11" t="s">
        <v>150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2" spans="1:19" x14ac:dyDescent="0.25">
      <c r="A32" s="2" t="s">
        <v>151</v>
      </c>
    </row>
    <row r="33" spans="1:19" x14ac:dyDescent="0.25">
      <c r="E33" s="9"/>
    </row>
    <row r="34" spans="1:19" x14ac:dyDescent="0.25">
      <c r="E34" s="2"/>
      <c r="F34" s="29">
        <v>2015</v>
      </c>
      <c r="G34" s="29">
        <v>2016</v>
      </c>
      <c r="H34" s="29">
        <v>2017</v>
      </c>
      <c r="I34" s="29">
        <v>2018</v>
      </c>
      <c r="J34" s="29">
        <v>2019</v>
      </c>
      <c r="K34" s="29">
        <v>2020</v>
      </c>
      <c r="L34" s="29">
        <v>2021</v>
      </c>
      <c r="M34" s="29">
        <v>2022</v>
      </c>
      <c r="N34" s="29">
        <v>2023</v>
      </c>
      <c r="O34" s="29">
        <v>2024</v>
      </c>
      <c r="P34" s="29">
        <v>2025</v>
      </c>
      <c r="Q34" s="29">
        <v>2026</v>
      </c>
      <c r="R34" s="29">
        <v>2027</v>
      </c>
      <c r="S34" s="29">
        <v>2028</v>
      </c>
    </row>
    <row r="35" spans="1:19" x14ac:dyDescent="0.25">
      <c r="E35" s="2"/>
      <c r="F35" s="18">
        <f>Data!F87</f>
        <v>1.9597457627118731E-2</v>
      </c>
      <c r="G35" s="18">
        <f>Data!G87</f>
        <v>1.0779220779220777E-2</v>
      </c>
      <c r="H35" s="18">
        <f>Data!H87</f>
        <v>2.1424900424001248E-2</v>
      </c>
      <c r="I35" s="18">
        <f>Data!I87</f>
        <v>3.7422560457875953E-2</v>
      </c>
      <c r="J35" s="18">
        <f>Data!J87</f>
        <v>3.0555639758707454E-2</v>
      </c>
      <c r="K35" s="18">
        <f>Data!K87</f>
        <v>2.5884636879724532E-2</v>
      </c>
      <c r="L35" s="18">
        <f>Data!L87</f>
        <v>1.2128336726209277E-2</v>
      </c>
      <c r="M35" s="18">
        <f>Data!M87</f>
        <v>5.7762039660056441E-2</v>
      </c>
      <c r="N35" s="18">
        <f>Data!N87</f>
        <v>0.12873938777149907</v>
      </c>
      <c r="O35" s="42">
        <f>IF($I$1=1,Data!O$87,(Data!O98+Data!O100)/2)</f>
        <v>5.2494606251392129E-2</v>
      </c>
      <c r="P35" s="42">
        <f>IF($I$1=1,Data!P$87,Data!P98)</f>
        <v>6.0915819839344465E-3</v>
      </c>
      <c r="Q35" s="42">
        <f>IF($I$1=1,Data!Q$87,Data!Q98)</f>
        <v>-2.2221369385422296E-4</v>
      </c>
      <c r="R35" s="42">
        <f>IF($I$1=1,Data!R$87,Data!R98)</f>
        <v>8.398414871114035E-3</v>
      </c>
      <c r="S35" s="18">
        <f>Data!S87</f>
        <v>1.7365149834534188E-2</v>
      </c>
    </row>
    <row r="36" spans="1:19" x14ac:dyDescent="0.25">
      <c r="E36" s="20" t="s">
        <v>142</v>
      </c>
      <c r="F36" s="9">
        <v>1</v>
      </c>
      <c r="G36" s="9">
        <f>F36*(1+G35)</f>
        <v>1.0107792207792208</v>
      </c>
      <c r="H36" s="9">
        <f t="shared" ref="H36:S36" si="2">G36*(1+H35)</f>
        <v>1.0324350649350651</v>
      </c>
      <c r="I36" s="9">
        <f t="shared" si="2"/>
        <v>1.0710714285714287</v>
      </c>
      <c r="J36" s="9">
        <f t="shared" si="2"/>
        <v>1.1037987012987014</v>
      </c>
      <c r="K36" s="9">
        <f t="shared" si="2"/>
        <v>1.1323701298701299</v>
      </c>
      <c r="L36" s="9">
        <f t="shared" si="2"/>
        <v>1.1461038961038961</v>
      </c>
      <c r="M36" s="9">
        <f t="shared" si="2"/>
        <v>1.2123051948051946</v>
      </c>
      <c r="N36" s="9">
        <f t="shared" si="2"/>
        <v>1.3683766233766232</v>
      </c>
      <c r="O36" s="70">
        <f t="shared" si="2"/>
        <v>1.4402090154243885</v>
      </c>
      <c r="P36" s="70">
        <f t="shared" si="2"/>
        <v>1.4489821667158478</v>
      </c>
      <c r="Q36" s="70">
        <f t="shared" si="2"/>
        <v>1.4486601830362529</v>
      </c>
      <c r="R36" s="70">
        <f t="shared" si="2"/>
        <v>1.4608266322606553</v>
      </c>
      <c r="S36" s="70">
        <f t="shared" si="2"/>
        <v>1.4861941056121395</v>
      </c>
    </row>
    <row r="38" spans="1:19" x14ac:dyDescent="0.25">
      <c r="A38" s="2" t="s">
        <v>143</v>
      </c>
    </row>
    <row r="39" spans="1:19" x14ac:dyDescent="0.25">
      <c r="A39" s="2"/>
    </row>
    <row r="40" spans="1:19" x14ac:dyDescent="0.25">
      <c r="F40" s="29">
        <v>2015</v>
      </c>
      <c r="G40" s="29">
        <v>2016</v>
      </c>
      <c r="H40" s="29">
        <v>2017</v>
      </c>
      <c r="I40" s="29">
        <v>2018</v>
      </c>
      <c r="J40" s="29">
        <v>2019</v>
      </c>
      <c r="K40" s="29">
        <v>2020</v>
      </c>
      <c r="L40" s="29">
        <v>2021</v>
      </c>
      <c r="M40" s="29">
        <v>2022</v>
      </c>
      <c r="N40" s="29">
        <v>2023</v>
      </c>
      <c r="O40" s="29">
        <v>2024</v>
      </c>
      <c r="P40" s="29">
        <v>2025</v>
      </c>
      <c r="Q40" s="29">
        <v>2026</v>
      </c>
      <c r="R40" s="29">
        <v>2027</v>
      </c>
      <c r="S40" s="29">
        <v>2028</v>
      </c>
    </row>
    <row r="41" spans="1:19" x14ac:dyDescent="0.25">
      <c r="F41" s="31"/>
      <c r="G41" s="30">
        <f>Data!G175</f>
        <v>2.9137943549780811E-2</v>
      </c>
      <c r="H41" s="30">
        <f>Data!H175</f>
        <v>2.908186755916908E-2</v>
      </c>
      <c r="I41" s="30">
        <f>Data!I175</f>
        <v>2.8921876632523724E-2</v>
      </c>
      <c r="J41" s="30">
        <f>Data!J175</f>
        <v>2.9198276912517546E-2</v>
      </c>
      <c r="K41" s="30">
        <f>Data!K175</f>
        <v>2.9421618106174111E-2</v>
      </c>
      <c r="L41" s="30">
        <f>Data!L175</f>
        <v>2.9741416154735845E-2</v>
      </c>
      <c r="M41" s="30">
        <f>Data!M175</f>
        <v>2.990234622090333E-2</v>
      </c>
      <c r="N41" s="30">
        <f>Data!N175</f>
        <v>3.0282501167429018E-2</v>
      </c>
      <c r="O41" s="30">
        <f>Data!O175</f>
        <v>2.0016413235747911E-2</v>
      </c>
      <c r="P41" s="30">
        <f>Data!P175</f>
        <v>1.9813765156266021E-2</v>
      </c>
      <c r="Q41" s="30">
        <f>Data!Q175</f>
        <v>1.9813795145773867E-2</v>
      </c>
      <c r="R41" s="30">
        <f>Data!R175</f>
        <v>1.9813765156265598E-2</v>
      </c>
      <c r="S41" s="30">
        <f>Data!S175</f>
        <v>1.9813765156265466E-2</v>
      </c>
    </row>
    <row r="42" spans="1:19" x14ac:dyDescent="0.25">
      <c r="E42" s="20" t="s">
        <v>144</v>
      </c>
      <c r="F42" s="9">
        <v>1</v>
      </c>
      <c r="G42" s="70">
        <f>F42*(1+G$41)</f>
        <v>1.0291379435497807</v>
      </c>
      <c r="H42" s="70">
        <f t="shared" ref="H42:S42" si="3">G42*(1+H$41)</f>
        <v>1.0590671969242111</v>
      </c>
      <c r="I42" s="70">
        <f t="shared" si="3"/>
        <v>1.0896974077392059</v>
      </c>
      <c r="J42" s="70">
        <f t="shared" si="3"/>
        <v>1.1215146944012278</v>
      </c>
      <c r="K42" s="70">
        <f t="shared" si="3"/>
        <v>1.1545114714403633</v>
      </c>
      <c r="L42" s="70">
        <f t="shared" si="3"/>
        <v>1.1888482775678875</v>
      </c>
      <c r="M42" s="70">
        <f t="shared" si="3"/>
        <v>1.224397630367847</v>
      </c>
      <c r="N42" s="70">
        <f t="shared" si="3"/>
        <v>1.2614754530388586</v>
      </c>
      <c r="O42" s="70">
        <f t="shared" si="3"/>
        <v>1.2867256669936367</v>
      </c>
      <c r="P42" s="70">
        <f t="shared" si="3"/>
        <v>1.3122205471799884</v>
      </c>
      <c r="Q42" s="70">
        <f t="shared" si="3"/>
        <v>1.338220616287888</v>
      </c>
      <c r="R42" s="70">
        <f t="shared" si="3"/>
        <v>1.3647358053062892</v>
      </c>
      <c r="S42" s="70">
        <f t="shared" si="3"/>
        <v>1.3917763600529749</v>
      </c>
    </row>
    <row r="44" spans="1:19" x14ac:dyDescent="0.25">
      <c r="A44" s="2" t="s">
        <v>152</v>
      </c>
    </row>
    <row r="45" spans="1:19" x14ac:dyDescent="0.25">
      <c r="A45" s="2"/>
    </row>
    <row r="46" spans="1:19" x14ac:dyDescent="0.25">
      <c r="A46" t="s">
        <v>153</v>
      </c>
      <c r="F46" s="9">
        <f>Data!$F$86/Data!$L$86</f>
        <v>0.87252124645892348</v>
      </c>
    </row>
    <row r="47" spans="1:19" x14ac:dyDescent="0.25">
      <c r="A47" t="s">
        <v>154</v>
      </c>
      <c r="F47" s="34">
        <f>G47</f>
        <v>22076.806913416429</v>
      </c>
      <c r="G47" s="1">
        <f>SUM(Data!G58:G71)*$F$46</f>
        <v>22076.806913416429</v>
      </c>
      <c r="H47" s="1">
        <f>SUM(Data!H58:H71)*$F$46</f>
        <v>22461.714027422095</v>
      </c>
      <c r="I47" s="1">
        <f>SUM(Data!I58:I71)*$F$46</f>
        <v>22812.163468668554</v>
      </c>
      <c r="J47" s="1">
        <f>SUM(Data!J58:J71)*$F$46</f>
        <v>23126.471420351281</v>
      </c>
      <c r="K47" s="1">
        <f>SUM(Data!K58:K71)*$F$46</f>
        <v>23433.930256498581</v>
      </c>
      <c r="L47" s="1">
        <f>SUM(Data!L58:L71)*$F$46</f>
        <v>23745.43432363739</v>
      </c>
      <c r="M47" s="1">
        <f>SUM(Data!M58:M71)*$F$46</f>
        <v>24110.842068453258</v>
      </c>
      <c r="N47" s="1">
        <f>SUM(Data!N58:N71)*$F$46</f>
        <v>24566.478611331444</v>
      </c>
      <c r="O47" s="1">
        <f>SUM(Data!O58:O71)*$F$46</f>
        <v>25111.618273733708</v>
      </c>
      <c r="P47" s="1">
        <f>SUM(Data!P58:P71)*$F$46</f>
        <v>26062.712604453256</v>
      </c>
      <c r="Q47" s="1">
        <f>SUM(Data!Q58:Q71)*$F$46</f>
        <v>27130.938432113315</v>
      </c>
      <c r="R47" s="1">
        <f>SUM(Data!R58:R71)*$F$46</f>
        <v>28157.4301541983</v>
      </c>
      <c r="S47" s="1">
        <f>SUM(Data!S58:S71)*$F$46</f>
        <v>29060.796874719548</v>
      </c>
    </row>
    <row r="48" spans="1:19" x14ac:dyDescent="0.25"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2" t="s">
        <v>148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C51" t="s">
        <v>104</v>
      </c>
      <c r="G51" s="37">
        <f>SUMPRODUCT(Data!G58:G71,Data!G120:G133)/SUM(Data!G58:G71)</f>
        <v>0.65000000000000013</v>
      </c>
      <c r="H51" s="37">
        <f>SUMPRODUCT(Data!H58:H71,Data!H120:H133)/SUM(Data!H58:H71)</f>
        <v>0.64999999999999991</v>
      </c>
      <c r="I51" s="37">
        <f>SUMPRODUCT(Data!I58:I71,Data!I120:I133)/SUM(Data!I58:I71)</f>
        <v>0.65000000000000013</v>
      </c>
      <c r="J51" s="37">
        <f>SUMPRODUCT(Data!J58:J71,Data!J120:J133)/SUM(Data!J58:J71)</f>
        <v>0.64999999999999991</v>
      </c>
      <c r="K51" s="37">
        <f>SUMPRODUCT(Data!K58:K71,Data!K120:K133)/SUM(Data!K58:K71)</f>
        <v>0.65</v>
      </c>
      <c r="L51" s="37">
        <f>SUMPRODUCT(Data!L58:L71,Data!L120:L133)/SUM(Data!L58:L71)</f>
        <v>0.65000000000000024</v>
      </c>
      <c r="M51" s="37">
        <f>SUMPRODUCT(Data!M58:M71,Data!M120:M133)/SUM(Data!M58:M71)</f>
        <v>0.65</v>
      </c>
      <c r="N51" s="37">
        <f>SUMPRODUCT(Data!N58:N71,Data!N120:N133)/SUM(Data!N58:N71)</f>
        <v>0.65</v>
      </c>
      <c r="O51" s="37">
        <f>SUMPRODUCT(Data!O58:O71,Data!O120:O133)/SUM(Data!O58:O71)</f>
        <v>0.60000000000000009</v>
      </c>
      <c r="P51" s="37">
        <f>SUMPRODUCT(Data!P58:P71,Data!P120:P133)/SUM(Data!P58:P71)</f>
        <v>0.6</v>
      </c>
      <c r="Q51" s="37">
        <f>SUMPRODUCT(Data!Q58:Q71,Data!Q120:Q133)/SUM(Data!Q58:Q71)</f>
        <v>0.6</v>
      </c>
      <c r="R51" s="37">
        <f>SUMPRODUCT(Data!R58:R71,Data!R120:R133)/SUM(Data!R58:R71)</f>
        <v>0.6</v>
      </c>
      <c r="S51" s="37">
        <f>SUMPRODUCT(Data!S58:S71,Data!S120:S133)/SUM(Data!S58:S71)</f>
        <v>0.59999999999999987</v>
      </c>
    </row>
    <row r="52" spans="1:19" x14ac:dyDescent="0.25">
      <c r="C52" t="s">
        <v>106</v>
      </c>
      <c r="G52" s="37">
        <f>SUMPRODUCT(Data!G58:G71,Data!G120:G133,Data!G154:G167)/SUMPRODUCT(Data!G58:G71,Data!G120:G133)</f>
        <v>0.25</v>
      </c>
      <c r="H52" s="37">
        <f>SUMPRODUCT(Data!H58:H71,Data!H120:H133,Data!H154:H167)/SUMPRODUCT(Data!H58:H71,Data!H120:H133)</f>
        <v>0.25</v>
      </c>
      <c r="I52" s="37">
        <f>SUMPRODUCT(Data!I58:I71,Data!I120:I133,Data!I154:I167)/SUMPRODUCT(Data!I58:I71,Data!I120:I133)</f>
        <v>0.25</v>
      </c>
      <c r="J52" s="37">
        <f>SUMPRODUCT(Data!J58:J71,Data!J120:J133,Data!J154:J167)/SUMPRODUCT(Data!J58:J71,Data!J120:J133)</f>
        <v>0.25</v>
      </c>
      <c r="K52" s="37">
        <f>SUMPRODUCT(Data!K58:K71,Data!K120:K133,Data!K154:K167)/SUMPRODUCT(Data!K58:K71,Data!K120:K133)</f>
        <v>0.25</v>
      </c>
      <c r="L52" s="37">
        <f>SUMPRODUCT(Data!L58:L71,Data!L120:L133,Data!L154:L167)/SUMPRODUCT(Data!L58:L71,Data!L120:L133)</f>
        <v>0.25</v>
      </c>
      <c r="M52" s="37">
        <f>SUMPRODUCT(Data!M58:M71,Data!M120:M133,Data!M154:M167)/SUMPRODUCT(Data!M58:M71,Data!M120:M133)</f>
        <v>0.25</v>
      </c>
      <c r="N52" s="37">
        <f>SUMPRODUCT(Data!N58:N71,Data!N120:N133,Data!N154:N167)/SUMPRODUCT(Data!N58:N71,Data!N120:N133)</f>
        <v>0.25</v>
      </c>
      <c r="O52" s="37">
        <f>SUMPRODUCT(Data!O58:O71,Data!O120:O133,Data!O154:O167)/SUMPRODUCT(Data!O58:O71,Data!O120:O133)</f>
        <v>0.25</v>
      </c>
      <c r="P52" s="37">
        <f>SUMPRODUCT(Data!P58:P71,Data!P120:P133,Data!P154:P167)/SUMPRODUCT(Data!P58:P71,Data!P120:P133)</f>
        <v>0.25</v>
      </c>
      <c r="Q52" s="37">
        <f>SUMPRODUCT(Data!Q58:Q71,Data!Q120:Q133,Data!Q154:Q167)/SUMPRODUCT(Data!Q58:Q71,Data!Q120:Q133)</f>
        <v>0.25</v>
      </c>
      <c r="R52" s="37">
        <f>SUMPRODUCT(Data!R58:R71,Data!R120:R133,Data!R154:R167)/SUMPRODUCT(Data!R58:R71,Data!R120:R133)</f>
        <v>0.25</v>
      </c>
      <c r="S52" s="37">
        <f>SUMPRODUCT(Data!S58:S71,Data!S120:S133,Data!S154:S167)/SUMPRODUCT(Data!S58:S71,Data!S120:S133)</f>
        <v>0.25</v>
      </c>
    </row>
    <row r="54" spans="1:19" x14ac:dyDescent="0.25">
      <c r="A54" s="2" t="s">
        <v>149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1"/>
      <c r="S54" s="1"/>
    </row>
    <row r="55" spans="1:19" x14ac:dyDescent="0.25">
      <c r="A55" s="2"/>
      <c r="E55" s="37"/>
      <c r="F55" s="37"/>
      <c r="G55" s="10">
        <f>SUMPRODUCT(Data!G196:G209,Data!G58:G71)/SUM(Data!G58:G71)</f>
        <v>3.7968995408463588E-2</v>
      </c>
      <c r="H55" s="10">
        <f>SUMPRODUCT(Data!H196:H209,Data!H58:H71)/SUM(Data!H58:H71)</f>
        <v>3.7055537809792358E-2</v>
      </c>
      <c r="I55" s="10">
        <f>SUMPRODUCT(Data!I196:I209,Data!I58:I71)/SUM(Data!I58:I71)</f>
        <v>3.6157595584664574E-2</v>
      </c>
      <c r="J55" s="10">
        <f>SUMPRODUCT(Data!J196:J209,Data!J58:J71)/SUM(Data!J58:J71)</f>
        <v>3.465177591873219E-2</v>
      </c>
      <c r="K55" s="10">
        <f>SUMPRODUCT(Data!K196:K209,Data!K58:K71)/SUM(Data!K58:K71)</f>
        <v>3.3335440022803947E-2</v>
      </c>
      <c r="L55" s="10">
        <f>SUMPRODUCT(Data!L196:L209,Data!L58:L71)/SUM(Data!L58:L71)</f>
        <v>3.1662901160518217E-2</v>
      </c>
      <c r="M55" s="10">
        <f>SUMPRODUCT(Data!M196:M209,Data!M58:M71)/SUM(Data!M58:M71)</f>
        <v>3.0288024570673203E-2</v>
      </c>
      <c r="N55" s="10">
        <f>SUMPRODUCT(Data!N196:N209,Data!N58:N71)/SUM(Data!N58:N71)</f>
        <v>2.8736151492842213E-2</v>
      </c>
      <c r="O55" s="10">
        <f>SUMPRODUCT(Data!O196:O209,Data!O58:O71)/SUM(Data!O58:O71)</f>
        <v>3.9630884855382284E-2</v>
      </c>
      <c r="P55" s="10">
        <f>SUMPRODUCT(Data!P196:P209,Data!P58:P71)/SUM(Data!P58:P71)</f>
        <v>3.9472605947333948E-2</v>
      </c>
      <c r="Q55" s="10">
        <f>SUMPRODUCT(Data!Q196:Q209,Data!Q58:Q71)/SUM(Data!Q58:Q71)</f>
        <v>3.9420399364672842E-2</v>
      </c>
      <c r="R55" s="10">
        <f>SUMPRODUCT(Data!R196:R209,Data!R58:R71)/SUM(Data!R58:R71)</f>
        <v>3.9046927800144925E-2</v>
      </c>
      <c r="S55" s="10">
        <f>SUMPRODUCT(Data!S196:S209,Data!S58:S71)/SUM(Data!S58:S71)</f>
        <v>3.8641247719223018E-2</v>
      </c>
    </row>
    <row r="57" spans="1:19" x14ac:dyDescent="0.25">
      <c r="A57" s="11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ignoredErrors>
    <ignoredError sqref="G47:S47 G51:S52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Drop Down 8">
              <controlPr defaultSize="0" autoLine="0" autoPict="0" altText="Drop-down box allowing user to switch between OBR and HMT inflation forecasts.">
                <anchor moveWithCells="1">
                  <from>
                    <xdr:col>4</xdr:col>
                    <xdr:colOff>485775</xdr:colOff>
                    <xdr:row>0</xdr:row>
                    <xdr:rowOff>38100</xdr:rowOff>
                  </from>
                  <to>
                    <xdr:col>7</xdr:col>
                    <xdr:colOff>276225</xdr:colOff>
                    <xdr:row>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9D6AE-B521-413E-8483-C8C7EF3344D0}">
  <sheetPr>
    <pageSetUpPr autoPageBreaks="0"/>
  </sheetPr>
  <dimension ref="A2:AH68"/>
  <sheetViews>
    <sheetView zoomScaleNormal="100" workbookViewId="0"/>
  </sheetViews>
  <sheetFormatPr defaultRowHeight="15" x14ac:dyDescent="0.25"/>
  <cols>
    <col min="1" max="2" width="7" customWidth="1"/>
    <col min="3" max="15" width="6.7109375" customWidth="1"/>
    <col min="16" max="17" width="1.5703125" customWidth="1"/>
    <col min="18" max="18" width="23" style="20" customWidth="1"/>
  </cols>
  <sheetData>
    <row r="2" spans="1:29" x14ac:dyDescent="0.25">
      <c r="B2" s="2">
        <v>2013</v>
      </c>
      <c r="C2" s="2">
        <v>2014</v>
      </c>
      <c r="D2" s="2">
        <v>2015</v>
      </c>
      <c r="E2" s="2">
        <v>2016</v>
      </c>
      <c r="F2" s="2">
        <v>2017</v>
      </c>
      <c r="G2" s="2">
        <v>2018</v>
      </c>
      <c r="H2" s="2">
        <v>2019</v>
      </c>
      <c r="I2" s="2">
        <v>2020</v>
      </c>
      <c r="J2" s="2">
        <v>2021</v>
      </c>
      <c r="K2" s="2">
        <v>2022</v>
      </c>
      <c r="L2" s="2">
        <v>2023</v>
      </c>
      <c r="M2" s="2">
        <v>2024</v>
      </c>
      <c r="N2" s="2">
        <v>2025</v>
      </c>
      <c r="O2" s="2">
        <v>2026</v>
      </c>
      <c r="P2" s="2"/>
      <c r="Q2" s="2"/>
      <c r="R2" s="19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t="s">
        <v>95</v>
      </c>
      <c r="B3" s="43">
        <f>'Sector values'!D20</f>
        <v>33533.876506783017</v>
      </c>
      <c r="C3" s="25">
        <f>'Sector values'!E20</f>
        <v>33533.876506783017</v>
      </c>
      <c r="D3" s="25">
        <f>'Sector values'!F20</f>
        <v>34335.966946604145</v>
      </c>
      <c r="E3" s="25">
        <f>'Sector values'!G20</f>
        <v>35268.299523800633</v>
      </c>
      <c r="F3" s="25">
        <f>'Sector values'!H20</f>
        <v>36219.098309216861</v>
      </c>
      <c r="G3" s="25">
        <f>'Sector values'!I20</f>
        <v>37240.014881151998</v>
      </c>
      <c r="H3" s="25">
        <f>'Sector values'!J20</f>
        <v>37770.932725227081</v>
      </c>
      <c r="I3" s="25">
        <f>'Sector values'!K20</f>
        <v>38207.833567038128</v>
      </c>
      <c r="J3" s="25">
        <f>'Sector values'!L20</f>
        <v>38653.123022277294</v>
      </c>
      <c r="K3" s="25">
        <f>'Sector values'!M20</f>
        <v>39209.911572996709</v>
      </c>
      <c r="L3" s="25">
        <f>'Sector values'!N20</f>
        <v>40034.875314835015</v>
      </c>
      <c r="M3" s="25">
        <f>'Sector values'!O20</f>
        <v>41040.644192295636</v>
      </c>
      <c r="N3" s="25">
        <f>'Sector values'!P20</f>
        <v>42198.743813324429</v>
      </c>
      <c r="O3" s="25">
        <f>'Sector values'!Q20</f>
        <v>43361.56884716951</v>
      </c>
      <c r="P3" s="25"/>
      <c r="Q3" s="25"/>
      <c r="R3" s="20" t="s">
        <v>155</v>
      </c>
    </row>
    <row r="4" spans="1:29" x14ac:dyDescent="0.25">
      <c r="R4"/>
    </row>
    <row r="5" spans="1:29" x14ac:dyDescent="0.25">
      <c r="A5" t="s">
        <v>97</v>
      </c>
      <c r="B5" s="32">
        <v>1</v>
      </c>
      <c r="C5" s="32">
        <f>'Sector values'!E8+1</f>
        <v>1.0288477912877627</v>
      </c>
      <c r="D5" s="32">
        <f>'Sector values'!F8+1</f>
        <v>1.0195974576271187</v>
      </c>
      <c r="E5" s="32">
        <f>'Sector values'!G8+1</f>
        <v>1.0107792207792208</v>
      </c>
      <c r="F5" s="32">
        <f>'Sector values'!H8+1</f>
        <v>1.0214249004240012</v>
      </c>
      <c r="G5" s="32">
        <f>'Sector values'!I8+1</f>
        <v>1.037422560457876</v>
      </c>
      <c r="H5" s="32">
        <f>'Sector values'!J8+1</f>
        <v>1.0305556397587075</v>
      </c>
      <c r="I5" s="32">
        <f>'Sector values'!K8+1</f>
        <v>1.0258846368797245</v>
      </c>
      <c r="J5" s="32">
        <f>'Sector values'!L8+1</f>
        <v>1.0121283367262093</v>
      </c>
      <c r="K5" s="32">
        <f>'Sector values'!M8+1</f>
        <v>1.0447418038860117</v>
      </c>
      <c r="L5" s="32">
        <f>'Sector values'!N8+1</f>
        <v>1.0877412700751437</v>
      </c>
      <c r="M5" s="32">
        <f>'Sector values'!O8+1</f>
        <v>1.0413614273543117</v>
      </c>
      <c r="N5" s="32">
        <f>'Sector values'!P8+1</f>
        <v>1.0060915819839344</v>
      </c>
      <c r="O5" s="32">
        <f>'Sector values'!Q8+1</f>
        <v>0.99977778630614578</v>
      </c>
      <c r="P5" s="32"/>
      <c r="Q5" s="32"/>
      <c r="R5" s="20" t="s">
        <v>98</v>
      </c>
      <c r="W5" s="2"/>
    </row>
    <row r="6" spans="1:29" ht="17.25" x14ac:dyDescent="0.25">
      <c r="A6" t="s">
        <v>99</v>
      </c>
      <c r="B6" s="32">
        <f>'Sector values'!D14+1</f>
        <v>1</v>
      </c>
      <c r="C6" s="32">
        <f>'Sector values'!E14+1</f>
        <v>1.0282510812576948</v>
      </c>
      <c r="D6" s="32">
        <f>'Sector values'!F14+1</f>
        <v>1.0288704536402922</v>
      </c>
      <c r="E6" s="32">
        <f>'Sector values'!G14+1</f>
        <v>1.0291379435497807</v>
      </c>
      <c r="F6" s="32">
        <f>'Sector values'!H14+1</f>
        <v>1.0293137777324166</v>
      </c>
      <c r="G6" s="32">
        <f>'Sector values'!I14+1</f>
        <v>1.0292006241871832</v>
      </c>
      <c r="H6" s="32">
        <f>'Sector values'!J14+1</f>
        <v>1.0294693101864991</v>
      </c>
      <c r="I6" s="32">
        <f>'Sector values'!K14+1</f>
        <v>1.0294140059730772</v>
      </c>
      <c r="J6" s="32">
        <f>'Sector values'!L14+1</f>
        <v>1.0304130123914268</v>
      </c>
      <c r="K6" s="32">
        <f>'Sector values'!M14+1</f>
        <v>1.0200268313628784</v>
      </c>
      <c r="L6" s="32">
        <f>'Sector values'!N14+1</f>
        <v>1.0200253633102943</v>
      </c>
      <c r="M6" s="32">
        <f>'Sector values'!O14+1</f>
        <v>1.0200232511477894</v>
      </c>
      <c r="N6" s="32">
        <f>'Sector values'!P14+1</f>
        <v>1.019756760731007</v>
      </c>
      <c r="O6" s="32">
        <f>'Sector values'!Q14+1</f>
        <v>1.019774168938369</v>
      </c>
      <c r="P6" s="32"/>
      <c r="Q6" s="32"/>
      <c r="R6" s="20" t="s">
        <v>100</v>
      </c>
    </row>
    <row r="7" spans="1:29" x14ac:dyDescent="0.25">
      <c r="A7" t="s">
        <v>123</v>
      </c>
      <c r="B7" s="67">
        <f>PRODUCT($B5:B5)</f>
        <v>1</v>
      </c>
      <c r="C7" s="67">
        <f>PRODUCT($B5:C5)</f>
        <v>1.0288477912877627</v>
      </c>
      <c r="D7" s="67">
        <f>PRODUCT($B5:D5)</f>
        <v>1.0490105922822794</v>
      </c>
      <c r="E7" s="67">
        <f>PRODUCT($B5:E5)</f>
        <v>1.0603181090562313</v>
      </c>
      <c r="F7" s="67">
        <f>PRODUCT($B5:F5)</f>
        <v>1.0830353189605264</v>
      </c>
      <c r="G7" s="67">
        <f>PRODUCT($B5:G5)</f>
        <v>1.1235652736623416</v>
      </c>
      <c r="H7" s="67">
        <f>PRODUCT($B5:H5)</f>
        <v>1.1578965294097616</v>
      </c>
      <c r="I7" s="67">
        <f>PRODUCT($B5:I5)</f>
        <v>1.1878682606178266</v>
      </c>
      <c r="J7" s="67">
        <f>PRODUCT($B5:J5)</f>
        <v>1.2022751268689762</v>
      </c>
      <c r="K7" s="67">
        <f>PRODUCT($B5:K5)</f>
        <v>1.2560670848123778</v>
      </c>
      <c r="L7" s="67">
        <f>PRODUCT($B5:L5)</f>
        <v>1.3662760061333989</v>
      </c>
      <c r="M7" s="67">
        <f>PRODUCT($B5:M5)</f>
        <v>1.4227871319070247</v>
      </c>
      <c r="N7" s="67">
        <f>PRODUCT($B5:N5)</f>
        <v>1.4314541563667234</v>
      </c>
      <c r="O7" s="67">
        <f>PRODUCT($B5:O5)</f>
        <v>1.4311360676510541</v>
      </c>
      <c r="P7" s="36"/>
      <c r="Q7" s="36"/>
      <c r="R7" s="20" t="s">
        <v>124</v>
      </c>
    </row>
    <row r="8" spans="1:29" x14ac:dyDescent="0.25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/>
    </row>
    <row r="9" spans="1:29" ht="17.25" customHeight="1" x14ac:dyDescent="0.35">
      <c r="A9" t="s">
        <v>126</v>
      </c>
      <c r="C9" s="68">
        <f>(C3-B3)*C7</f>
        <v>0</v>
      </c>
      <c r="D9" s="68">
        <f>(D3-C3)*D7</f>
        <v>841.4013673407153</v>
      </c>
      <c r="E9" s="68">
        <f t="shared" ref="E9:N9" si="0">(E3-D3)*E7</f>
        <v>988.56911526450324</v>
      </c>
      <c r="F9" s="68">
        <f>(F3-E3)*F7</f>
        <v>1029.748665830545</v>
      </c>
      <c r="G9" s="68">
        <f t="shared" si="0"/>
        <v>1147.0664075327215</v>
      </c>
      <c r="H9" s="68">
        <f>(H3-G3)*H7</f>
        <v>614.74792905625259</v>
      </c>
      <c r="I9" s="68">
        <f t="shared" si="0"/>
        <v>518.98064302455157</v>
      </c>
      <c r="J9" s="68">
        <f>(J3-I3)*J7</f>
        <v>535.36043629108588</v>
      </c>
      <c r="K9" s="68">
        <f t="shared" si="0"/>
        <v>699.36377175904443</v>
      </c>
      <c r="L9" s="68">
        <f>(L3-K3)*L7</f>
        <v>1127.1281664037056</v>
      </c>
      <c r="M9" s="68">
        <f>(M3-L3)*M7</f>
        <v>1430.995016523545</v>
      </c>
      <c r="N9" s="68">
        <f t="shared" si="0"/>
        <v>1657.7665160083918</v>
      </c>
      <c r="O9" s="68">
        <f>(O3-N3)*O7</f>
        <v>1664.1608463032539</v>
      </c>
      <c r="P9" s="26"/>
      <c r="Q9" s="26"/>
      <c r="R9" s="20" t="s">
        <v>127</v>
      </c>
    </row>
    <row r="10" spans="1:29" x14ac:dyDescent="0.2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/>
    </row>
    <row r="11" spans="1:29" ht="17.25" x14ac:dyDescent="0.25">
      <c r="A11" t="s">
        <v>129</v>
      </c>
      <c r="B11" s="68">
        <f t="shared" ref="B11:O11" si="1">B3*B7</f>
        <v>33533.876506783017</v>
      </c>
      <c r="C11" s="68">
        <f t="shared" si="1"/>
        <v>34501.254777320304</v>
      </c>
      <c r="D11" s="68">
        <f>D3*D7</f>
        <v>36018.793023241982</v>
      </c>
      <c r="E11" s="68">
        <f t="shared" si="1"/>
        <v>37395.616660705069</v>
      </c>
      <c r="F11" s="68">
        <f>F3*F7</f>
        <v>39226.562689785344</v>
      </c>
      <c r="G11" s="68">
        <f t="shared" si="1"/>
        <v>41841.58751113122</v>
      </c>
      <c r="H11" s="68">
        <f t="shared" si="1"/>
        <v>43734.83191511003</v>
      </c>
      <c r="I11" s="68">
        <f>I3*I7</f>
        <v>45385.87280125299</v>
      </c>
      <c r="J11" s="68">
        <f>J3*J7</f>
        <v>46471.688385490575</v>
      </c>
      <c r="K11" s="68">
        <f t="shared" si="1"/>
        <v>49250.279325245094</v>
      </c>
      <c r="L11" s="68">
        <f>L3*L7</f>
        <v>54698.689551201387</v>
      </c>
      <c r="M11" s="68">
        <f t="shared" si="1"/>
        <v>58392.100441972994</v>
      </c>
      <c r="N11" s="68">
        <f t="shared" si="1"/>
        <v>60405.567225037805</v>
      </c>
      <c r="O11" s="68">
        <f t="shared" si="1"/>
        <v>62056.30512711862</v>
      </c>
      <c r="P11" s="26"/>
      <c r="Q11" s="26"/>
      <c r="R11" s="20" t="s">
        <v>130</v>
      </c>
    </row>
    <row r="12" spans="1:29" ht="17.25" x14ac:dyDescent="0.25">
      <c r="A12" t="s">
        <v>132</v>
      </c>
      <c r="B12" s="68">
        <f>B3*B6</f>
        <v>33533.876506783017</v>
      </c>
      <c r="C12" s="68">
        <f>B12*C6+C9</f>
        <v>34481.244776861648</v>
      </c>
      <c r="D12" s="68">
        <f>C12*D6+D9</f>
        <v>36318.135322992319</v>
      </c>
      <c r="E12" s="68">
        <f>D12*E6+E9</f>
        <v>38364.940215131464</v>
      </c>
      <c r="F12" s="68">
        <f t="shared" ref="F12:O12" si="2">E12*F6+F9</f>
        <v>40519.310211145821</v>
      </c>
      <c r="G12" s="68">
        <f>F12*G6+G9</f>
        <v>42849.565768478104</v>
      </c>
      <c r="H12" s="68">
        <f t="shared" si="2"/>
        <v>44727.060842522435</v>
      </c>
      <c r="I12" s="68">
        <f t="shared" si="2"/>
        <v>46561.643520327125</v>
      </c>
      <c r="J12" s="68">
        <f>I12*J6+J9</f>
        <v>48513.083797967112</v>
      </c>
      <c r="K12" s="68">
        <f t="shared" si="2"/>
        <v>50184.010917841239</v>
      </c>
      <c r="L12" s="68">
        <f t="shared" si="2"/>
        <v>52316.092135242492</v>
      </c>
      <c r="M12" s="68">
        <f t="shared" si="2"/>
        <v>54794.625403660881</v>
      </c>
      <c r="N12" s="68">
        <f t="shared" si="2"/>
        <v>57534.956223114554</v>
      </c>
      <c r="O12" s="68">
        <f t="shared" si="2"/>
        <v>60336.823013635338</v>
      </c>
      <c r="P12" s="26"/>
      <c r="Q12" s="26"/>
      <c r="R12" s="20" t="s">
        <v>133</v>
      </c>
    </row>
    <row r="13" spans="1:29" x14ac:dyDescent="0.25"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34"/>
      <c r="Q13" s="34"/>
      <c r="R13"/>
    </row>
    <row r="14" spans="1:29" x14ac:dyDescent="0.25">
      <c r="A14" t="s">
        <v>101</v>
      </c>
      <c r="C14" s="68">
        <f>(C11-C12)-(B11-B12)</f>
        <v>20.010000458656577</v>
      </c>
      <c r="D14" s="68">
        <f>(D11-D12)-(C11-C12)</f>
        <v>-319.35230020899326</v>
      </c>
      <c r="E14" s="68">
        <f t="shared" ref="E14:N14" si="3">(E11-E12)-(D11-D12)</f>
        <v>-669.9812546760586</v>
      </c>
      <c r="F14" s="68">
        <f t="shared" si="3"/>
        <v>-323.42396693408227</v>
      </c>
      <c r="G14" s="68">
        <f t="shared" si="3"/>
        <v>284.76926401359378</v>
      </c>
      <c r="H14" s="68">
        <f t="shared" si="3"/>
        <v>15.749329934478737</v>
      </c>
      <c r="I14" s="68">
        <f t="shared" si="3"/>
        <v>-183.5417916617298</v>
      </c>
      <c r="J14" s="68">
        <f t="shared" si="3"/>
        <v>-865.62469340240204</v>
      </c>
      <c r="K14" s="68">
        <f t="shared" si="3"/>
        <v>1107.6638198803921</v>
      </c>
      <c r="L14" s="68">
        <f t="shared" si="3"/>
        <v>3316.3290085550398</v>
      </c>
      <c r="M14" s="68">
        <f t="shared" si="3"/>
        <v>1214.8776223532186</v>
      </c>
      <c r="N14" s="68">
        <f t="shared" si="3"/>
        <v>-726.86403638886259</v>
      </c>
      <c r="O14" s="68">
        <f>(O11-O12)-(N11-N12)</f>
        <v>-1151.1288884399692</v>
      </c>
      <c r="P14" s="26"/>
      <c r="Q14" s="26"/>
      <c r="R14" s="20" t="s">
        <v>135</v>
      </c>
    </row>
    <row r="15" spans="1:29" x14ac:dyDescent="0.25"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54"/>
      <c r="N15" s="54"/>
      <c r="O15" s="54"/>
      <c r="P15" s="1"/>
      <c r="Q15" s="1"/>
    </row>
    <row r="16" spans="1:29" x14ac:dyDescent="0.25">
      <c r="A16" t="s">
        <v>104</v>
      </c>
      <c r="C16" s="22">
        <f>'Sector values'!E24</f>
        <v>0.62375878303016385</v>
      </c>
      <c r="D16" s="22">
        <f>'Sector values'!F24</f>
        <v>0.62254182805466052</v>
      </c>
      <c r="E16" s="22">
        <f>'Sector values'!G24</f>
        <v>0.62115739502233325</v>
      </c>
      <c r="F16" s="22">
        <f>'Sector values'!H24</f>
        <v>0.61999636961277704</v>
      </c>
      <c r="G16" s="22">
        <f>'Sector values'!I24</f>
        <v>0.6193506593546334</v>
      </c>
      <c r="H16" s="22">
        <f>'Sector values'!J24</f>
        <v>0.61900553763794897</v>
      </c>
      <c r="I16" s="22">
        <f>'Sector values'!K24</f>
        <v>0.6187702815512407</v>
      </c>
      <c r="J16" s="22">
        <f>'Sector values'!L24</f>
        <v>0.61852305065458169</v>
      </c>
      <c r="K16" s="22">
        <f>'Sector values'!M24</f>
        <v>0.57803331145214298</v>
      </c>
      <c r="L16" s="22">
        <f>'Sector values'!N24</f>
        <v>0.577625099293124</v>
      </c>
      <c r="M16" s="22">
        <f>'Sector values'!O24</f>
        <v>0.57714547056956023</v>
      </c>
      <c r="N16" s="22">
        <f>'Sector values'!P24</f>
        <v>0.57656008276042781</v>
      </c>
      <c r="O16" s="22">
        <f>'Sector values'!Q24</f>
        <v>0.5758758160344547</v>
      </c>
      <c r="P16" s="22"/>
      <c r="Q16" s="22"/>
      <c r="R16" s="20" t="s">
        <v>105</v>
      </c>
    </row>
    <row r="17" spans="1:18" x14ac:dyDescent="0.25">
      <c r="A17" t="s">
        <v>106</v>
      </c>
      <c r="C17" s="22">
        <f>'Sector values'!E25</f>
        <v>0.23277576617155404</v>
      </c>
      <c r="D17" s="22">
        <f>'Sector values'!F25</f>
        <v>0.23038332214317817</v>
      </c>
      <c r="E17" s="22">
        <f>'Sector values'!G25</f>
        <v>0.22714610485222492</v>
      </c>
      <c r="F17" s="22">
        <f>'Sector values'!H25</f>
        <v>0.22426148436770432</v>
      </c>
      <c r="G17" s="22">
        <f>'Sector values'!I25</f>
        <v>0.22274791184417567</v>
      </c>
      <c r="H17" s="22">
        <f>'Sector values'!J25</f>
        <v>0.22199491068607255</v>
      </c>
      <c r="I17" s="22">
        <f>'Sector values'!K25</f>
        <v>0.2216383817211264</v>
      </c>
      <c r="J17" s="22">
        <f>'Sector values'!L25</f>
        <v>0.22119838310730067</v>
      </c>
      <c r="K17" s="22">
        <f>'Sector values'!M25</f>
        <v>0.29999999999999993</v>
      </c>
      <c r="L17" s="22">
        <f>'Sector values'!N25</f>
        <v>0.29999999999999993</v>
      </c>
      <c r="M17" s="22">
        <f>'Sector values'!O25</f>
        <v>0.3000000000000001</v>
      </c>
      <c r="N17" s="22">
        <f>'Sector values'!P25</f>
        <v>0.3000000000000001</v>
      </c>
      <c r="O17" s="22">
        <f>'Sector values'!Q25</f>
        <v>0.3000000000000001</v>
      </c>
      <c r="P17" s="22"/>
      <c r="Q17" s="22"/>
      <c r="R17" s="20" t="s">
        <v>107</v>
      </c>
    </row>
    <row r="19" spans="1:18" x14ac:dyDescent="0.25">
      <c r="A19" t="s">
        <v>108</v>
      </c>
      <c r="C19" s="68">
        <f t="shared" ref="C19" si="4">C16*C17*C14</f>
        <v>2.9053705984029787</v>
      </c>
      <c r="D19" s="68">
        <f t="shared" ref="D19:O19" si="5">D16*D17*D14</f>
        <v>-45.802546234524037</v>
      </c>
      <c r="E19" s="68">
        <f t="shared" si="5"/>
        <v>-94.529988619209405</v>
      </c>
      <c r="F19" s="68">
        <f t="shared" si="5"/>
        <v>-44.969290803359641</v>
      </c>
      <c r="G19" s="68">
        <f t="shared" si="5"/>
        <v>39.286501708915551</v>
      </c>
      <c r="H19" s="68">
        <f t="shared" si="5"/>
        <v>2.1642111671367696</v>
      </c>
      <c r="I19" s="68">
        <f t="shared" si="5"/>
        <v>-25.171516692392121</v>
      </c>
      <c r="J19" s="68">
        <f t="shared" si="5"/>
        <v>-118.43156663142211</v>
      </c>
      <c r="K19" s="68">
        <f t="shared" si="5"/>
        <v>192.0799757343579</v>
      </c>
      <c r="L19" s="68">
        <f t="shared" si="5"/>
        <v>574.67846185658152</v>
      </c>
      <c r="M19" s="68">
        <f t="shared" si="5"/>
        <v>210.3483351112431</v>
      </c>
      <c r="N19" s="68">
        <f t="shared" si="5"/>
        <v>-125.72423669278241</v>
      </c>
      <c r="O19" s="68">
        <f t="shared" si="5"/>
        <v>-198.87218639736065</v>
      </c>
      <c r="P19" s="26"/>
      <c r="Q19" s="26"/>
      <c r="R19" s="20" t="s">
        <v>109</v>
      </c>
    </row>
    <row r="20" spans="1:18" x14ac:dyDescent="0.25">
      <c r="A20" t="s">
        <v>111</v>
      </c>
      <c r="C20" s="68">
        <f t="shared" ref="C20" si="6">C14*(1-C16*C17)</f>
        <v>17.104629860253599</v>
      </c>
      <c r="D20" s="68">
        <f t="shared" ref="D20:O20" si="7">D14*(1-D16*D17)</f>
        <v>-273.54975397446918</v>
      </c>
      <c r="E20" s="68">
        <f t="shared" si="7"/>
        <v>-575.45126605684914</v>
      </c>
      <c r="F20" s="68">
        <f t="shared" si="7"/>
        <v>-278.45467613072265</v>
      </c>
      <c r="G20" s="68">
        <f t="shared" si="7"/>
        <v>245.48276230467823</v>
      </c>
      <c r="H20" s="68">
        <f t="shared" si="7"/>
        <v>13.585118767341967</v>
      </c>
      <c r="I20" s="68">
        <f t="shared" si="7"/>
        <v>-158.37027496933769</v>
      </c>
      <c r="J20" s="68">
        <f t="shared" si="7"/>
        <v>-747.19312677097992</v>
      </c>
      <c r="K20" s="68">
        <f t="shared" si="7"/>
        <v>915.58384414603415</v>
      </c>
      <c r="L20" s="68">
        <f t="shared" si="7"/>
        <v>2741.6505466984581</v>
      </c>
      <c r="M20" s="68">
        <f t="shared" si="7"/>
        <v>1004.5292872419755</v>
      </c>
      <c r="N20" s="68">
        <f t="shared" si="7"/>
        <v>-601.1397996960801</v>
      </c>
      <c r="O20" s="68">
        <f t="shared" si="7"/>
        <v>-952.25670204260848</v>
      </c>
      <c r="P20" s="26"/>
      <c r="Q20" s="26"/>
      <c r="R20" s="20" t="s">
        <v>112</v>
      </c>
    </row>
    <row r="21" spans="1:18" x14ac:dyDescent="0.25">
      <c r="A21" t="s">
        <v>114</v>
      </c>
      <c r="C21" s="68">
        <f t="shared" ref="C21" si="8">C14*(1-C16)</f>
        <v>7.5285869241319299</v>
      </c>
      <c r="D21" s="68">
        <f t="shared" ref="D21:O21" si="9">D14*(1-D16)</f>
        <v>-120.54213544342585</v>
      </c>
      <c r="E21" s="68">
        <f t="shared" si="9"/>
        <v>-253.81744380768362</v>
      </c>
      <c r="F21" s="68">
        <f t="shared" si="9"/>
        <v>-122.90228158918842</v>
      </c>
      <c r="G21" s="68">
        <f t="shared" si="9"/>
        <v>108.3972325828408</v>
      </c>
      <c r="H21" s="68">
        <f t="shared" si="9"/>
        <v>6.0004074909492831</v>
      </c>
      <c r="I21" s="68">
        <f t="shared" si="9"/>
        <v>-69.971585558782095</v>
      </c>
      <c r="J21" s="68">
        <f t="shared" si="9"/>
        <v>-330.2158673172114</v>
      </c>
      <c r="K21" s="68">
        <f t="shared" si="9"/>
        <v>467.39723409919901</v>
      </c>
      <c r="L21" s="68">
        <f t="shared" si="9"/>
        <v>1400.7341356997674</v>
      </c>
      <c r="M21" s="68">
        <f t="shared" si="9"/>
        <v>513.71650531574176</v>
      </c>
      <c r="N21" s="68">
        <f t="shared" si="9"/>
        <v>-307.78324741292136</v>
      </c>
      <c r="O21" s="68">
        <f t="shared" si="9"/>
        <v>-488.22160044876716</v>
      </c>
      <c r="P21" s="26"/>
      <c r="Q21" s="26"/>
      <c r="R21" s="20" t="s">
        <v>115</v>
      </c>
    </row>
    <row r="22" spans="1:18" x14ac:dyDescent="0.25">
      <c r="R22"/>
    </row>
    <row r="23" spans="1:18" x14ac:dyDescent="0.25">
      <c r="A23" t="s">
        <v>117</v>
      </c>
      <c r="C23" s="27">
        <f>C14*C16*(1-C17)</f>
        <v>9.5760429361216683</v>
      </c>
      <c r="D23" s="27">
        <f>D14*D16*(1-D17)</f>
        <v>-153.00761853104336</v>
      </c>
      <c r="E23" s="27">
        <f>E14*E16*(1-E17)</f>
        <v>-321.63382224916558</v>
      </c>
      <c r="F23" s="27">
        <f t="shared" ref="F23:O23" si="10">F14*F16*(1-F17)</f>
        <v>-155.55239454153423</v>
      </c>
      <c r="G23" s="27">
        <f t="shared" si="10"/>
        <v>137.08552972183745</v>
      </c>
      <c r="H23" s="27">
        <f t="shared" si="10"/>
        <v>7.5847112763926852</v>
      </c>
      <c r="I23" s="27">
        <f t="shared" si="10"/>
        <v>-88.39868941055559</v>
      </c>
      <c r="J23" s="27">
        <f t="shared" si="10"/>
        <v>-416.97725945376851</v>
      </c>
      <c r="K23" s="27">
        <f t="shared" si="10"/>
        <v>448.18661004683526</v>
      </c>
      <c r="L23" s="27">
        <f t="shared" si="10"/>
        <v>1340.9164109986907</v>
      </c>
      <c r="M23" s="27">
        <f t="shared" si="10"/>
        <v>490.81278192623375</v>
      </c>
      <c r="N23" s="27">
        <f t="shared" si="10"/>
        <v>-293.35655228315886</v>
      </c>
      <c r="O23" s="27">
        <f t="shared" si="10"/>
        <v>-464.03510159384138</v>
      </c>
      <c r="P23" s="27"/>
      <c r="Q23" s="27"/>
      <c r="R23" s="20" t="s">
        <v>118</v>
      </c>
    </row>
    <row r="26" spans="1:18" x14ac:dyDescent="0.25">
      <c r="D26" t="s">
        <v>156</v>
      </c>
    </row>
    <row r="27" spans="1:18" x14ac:dyDescent="0.25">
      <c r="E27" s="38" t="s">
        <v>157</v>
      </c>
      <c r="I27" s="1"/>
    </row>
    <row r="28" spans="1:18" x14ac:dyDescent="0.25">
      <c r="E28" s="27">
        <f>SUM(C23:J23)</f>
        <v>-981.32350025171536</v>
      </c>
      <c r="G28" s="1"/>
    </row>
    <row r="29" spans="1:18" x14ac:dyDescent="0.25">
      <c r="D29" t="s">
        <v>158</v>
      </c>
    </row>
    <row r="30" spans="1:18" x14ac:dyDescent="0.25">
      <c r="E30" s="27">
        <f>SUM(K23:O23)</f>
        <v>1522.5241490947594</v>
      </c>
    </row>
    <row r="31" spans="1:18" x14ac:dyDescent="0.25">
      <c r="D31" t="s">
        <v>159</v>
      </c>
    </row>
    <row r="32" spans="1:18" x14ac:dyDescent="0.25">
      <c r="E32" s="27">
        <f>E28+E30</f>
        <v>541.20064884304406</v>
      </c>
    </row>
    <row r="33" spans="1:18" x14ac:dyDescent="0.25">
      <c r="D33" t="s">
        <v>160</v>
      </c>
    </row>
    <row r="34" spans="1:18" x14ac:dyDescent="0.25">
      <c r="E34" s="27">
        <f>SUM(E23:L23)</f>
        <v>951.21109638873213</v>
      </c>
    </row>
    <row r="36" spans="1:18" x14ac:dyDescent="0.25">
      <c r="A36" t="s">
        <v>161</v>
      </c>
    </row>
    <row r="37" spans="1:18" x14ac:dyDescent="0.25">
      <c r="C37" s="2">
        <v>2014</v>
      </c>
      <c r="D37" s="2">
        <v>2015</v>
      </c>
      <c r="E37" s="2">
        <v>2016</v>
      </c>
      <c r="F37" s="2">
        <v>2017</v>
      </c>
      <c r="G37" s="2">
        <v>2018</v>
      </c>
      <c r="H37" s="2">
        <v>2019</v>
      </c>
      <c r="I37" s="2">
        <v>2020</v>
      </c>
      <c r="J37" s="2">
        <v>2021</v>
      </c>
      <c r="K37" s="2">
        <v>2022</v>
      </c>
      <c r="L37" s="2">
        <v>2023</v>
      </c>
      <c r="M37" s="2">
        <v>2024</v>
      </c>
      <c r="N37" s="2">
        <v>2025</v>
      </c>
      <c r="O37" s="2">
        <v>2026</v>
      </c>
      <c r="R37"/>
    </row>
    <row r="38" spans="1:18" x14ac:dyDescent="0.25">
      <c r="A38" s="18"/>
      <c r="C38" s="45">
        <f>'Sector values'!E28</f>
        <v>4.3937449411933484E-2</v>
      </c>
      <c r="D38" s="45">
        <f>'Sector values'!F28</f>
        <v>4.2707057012226921E-2</v>
      </c>
      <c r="E38" s="45">
        <f>'Sector values'!G28</f>
        <v>4.1662249157349458E-2</v>
      </c>
      <c r="F38" s="45">
        <f>'Sector values'!H28</f>
        <v>4.058582208900624E-2</v>
      </c>
      <c r="G38" s="45">
        <f>'Sector values'!I28</f>
        <v>3.9567480403149322E-2</v>
      </c>
      <c r="H38" s="45">
        <f>'Sector values'!J28</f>
        <v>3.7643182452758654E-2</v>
      </c>
      <c r="I38" s="45">
        <f>'Sector values'!K28</f>
        <v>3.5677739761845094E-2</v>
      </c>
      <c r="J38" s="45">
        <f>'Sector values'!L28</f>
        <v>3.4138521095454441E-2</v>
      </c>
      <c r="K38" s="45">
        <f>'Sector values'!M28</f>
        <v>3.0335242299435128E-2</v>
      </c>
      <c r="L38" s="45">
        <f>'Sector values'!N28</f>
        <v>2.9539414256789073E-2</v>
      </c>
      <c r="M38" s="45">
        <f>'Sector values'!O28</f>
        <v>3.0763509025006464E-2</v>
      </c>
      <c r="N38" s="45">
        <f>'Sector values'!P28</f>
        <v>3.1102160894537961E-2</v>
      </c>
      <c r="O38" s="45">
        <f>'Sector values'!Q28</f>
        <v>3.1629593372891805E-2</v>
      </c>
      <c r="P38" s="45"/>
      <c r="Q38" s="45"/>
      <c r="R38" s="44" t="s">
        <v>162</v>
      </c>
    </row>
    <row r="39" spans="1:18" x14ac:dyDescent="0.25">
      <c r="C39" s="45">
        <f>C5-1</f>
        <v>2.8847791287762714E-2</v>
      </c>
      <c r="D39" s="45">
        <f t="shared" ref="D39:O39" si="11">D5-1</f>
        <v>1.9597457627118731E-2</v>
      </c>
      <c r="E39" s="45">
        <f t="shared" si="11"/>
        <v>1.0779220779220777E-2</v>
      </c>
      <c r="F39" s="45">
        <f t="shared" si="11"/>
        <v>2.1424900424001248E-2</v>
      </c>
      <c r="G39" s="45">
        <f t="shared" si="11"/>
        <v>3.7422560457875953E-2</v>
      </c>
      <c r="H39" s="45">
        <f t="shared" si="11"/>
        <v>3.0555639758707454E-2</v>
      </c>
      <c r="I39" s="45">
        <f t="shared" si="11"/>
        <v>2.5884636879724532E-2</v>
      </c>
      <c r="J39" s="45">
        <f t="shared" si="11"/>
        <v>1.2128336726209277E-2</v>
      </c>
      <c r="K39" s="45">
        <f t="shared" si="11"/>
        <v>4.4741803886011677E-2</v>
      </c>
      <c r="L39" s="45">
        <f t="shared" si="11"/>
        <v>8.7741270075143651E-2</v>
      </c>
      <c r="M39" s="45">
        <f>M5-1</f>
        <v>4.1361427354311697E-2</v>
      </c>
      <c r="N39" s="45">
        <f t="shared" si="11"/>
        <v>6.0915819839344465E-3</v>
      </c>
      <c r="O39" s="45">
        <f t="shared" si="11"/>
        <v>-2.2221369385422296E-4</v>
      </c>
      <c r="P39" s="45"/>
      <c r="Q39" s="45"/>
      <c r="R39" s="44" t="s">
        <v>163</v>
      </c>
    </row>
    <row r="40" spans="1:18" x14ac:dyDescent="0.25">
      <c r="C40" s="71">
        <f>(1+C38)*(1+C39)-1</f>
        <v>7.4052739070048279E-2</v>
      </c>
      <c r="D40" s="71">
        <f t="shared" ref="D40:O40" si="12">(1+D38)*(1+D39)-1</f>
        <v>6.3141464379521839E-2</v>
      </c>
      <c r="E40" s="71">
        <f t="shared" si="12"/>
        <v>5.2890556518396359E-2</v>
      </c>
      <c r="F40" s="71">
        <f t="shared" si="12"/>
        <v>6.288026970989069E-2</v>
      </c>
      <c r="G40" s="71">
        <f t="shared" si="12"/>
        <v>7.8470757288578108E-2</v>
      </c>
      <c r="H40" s="71">
        <f t="shared" si="12"/>
        <v>6.9349033733863807E-2</v>
      </c>
      <c r="I40" s="71">
        <f t="shared" si="12"/>
        <v>6.2485881979994273E-2</v>
      </c>
      <c r="J40" s="71">
        <f t="shared" si="12"/>
        <v>4.6680901300844013E-2</v>
      </c>
      <c r="K40" s="71">
        <f t="shared" si="12"/>
        <v>7.6434299647242909E-2</v>
      </c>
      <c r="L40" s="71">
        <f t="shared" si="12"/>
        <v>0.11987251005609911</v>
      </c>
      <c r="M40" s="71">
        <f>(1+M38)*(1+M39)-1</f>
        <v>7.3397359023019693E-2</v>
      </c>
      <c r="N40" s="71">
        <f t="shared" si="12"/>
        <v>3.7383204241438817E-2</v>
      </c>
      <c r="O40" s="71">
        <f t="shared" si="12"/>
        <v>3.1400351150259187E-2</v>
      </c>
      <c r="P40" s="46"/>
      <c r="Q40" s="46"/>
      <c r="R40" s="44" t="s">
        <v>164</v>
      </c>
    </row>
    <row r="41" spans="1:18" x14ac:dyDescent="0.25">
      <c r="C41" s="72">
        <f>C40+1</f>
        <v>1.0740527390700483</v>
      </c>
      <c r="D41" s="72">
        <f t="shared" ref="D41:O41" si="13">D40+1</f>
        <v>1.0631414643795218</v>
      </c>
      <c r="E41" s="72">
        <f t="shared" si="13"/>
        <v>1.0528905565183964</v>
      </c>
      <c r="F41" s="72">
        <f t="shared" si="13"/>
        <v>1.0628802697098907</v>
      </c>
      <c r="G41" s="72">
        <f t="shared" si="13"/>
        <v>1.0784707572885781</v>
      </c>
      <c r="H41" s="72">
        <f t="shared" si="13"/>
        <v>1.0693490337338638</v>
      </c>
      <c r="I41" s="72">
        <f t="shared" si="13"/>
        <v>1.0624858819799943</v>
      </c>
      <c r="J41" s="72">
        <f t="shared" si="13"/>
        <v>1.046680901300844</v>
      </c>
      <c r="K41" s="72">
        <f t="shared" si="13"/>
        <v>1.0764342996472429</v>
      </c>
      <c r="L41" s="72">
        <f t="shared" si="13"/>
        <v>1.1198725100560991</v>
      </c>
      <c r="M41" s="72">
        <f t="shared" si="13"/>
        <v>1.0733973590230197</v>
      </c>
      <c r="N41" s="72">
        <f t="shared" si="13"/>
        <v>1.0373832042414388</v>
      </c>
      <c r="O41" s="72">
        <f t="shared" si="13"/>
        <v>1.0314003511502592</v>
      </c>
      <c r="P41" s="47"/>
      <c r="Q41" s="47"/>
      <c r="R41" s="44" t="s">
        <v>165</v>
      </c>
    </row>
    <row r="42" spans="1:18" x14ac:dyDescent="0.25">
      <c r="C42" s="72">
        <f t="shared" ref="C42:J42" si="14">D42/D41</f>
        <v>0.54365067683330182</v>
      </c>
      <c r="D42" s="72">
        <f t="shared" si="14"/>
        <v>0.57797757667947469</v>
      </c>
      <c r="E42" s="72">
        <f t="shared" si="14"/>
        <v>0.60854713236520619</v>
      </c>
      <c r="F42" s="72">
        <f t="shared" si="14"/>
        <v>0.64681274017951085</v>
      </c>
      <c r="G42" s="72">
        <f t="shared" si="14"/>
        <v>0.69756862572529732</v>
      </c>
      <c r="H42" s="72">
        <f t="shared" si="14"/>
        <v>0.74594433588240594</v>
      </c>
      <c r="I42" s="72">
        <f t="shared" si="14"/>
        <v>0.79255532561799913</v>
      </c>
      <c r="J42" s="72">
        <f t="shared" si="14"/>
        <v>0.82955252254863121</v>
      </c>
      <c r="K42" s="72">
        <f>L42/L41</f>
        <v>0.89295878863023948</v>
      </c>
      <c r="L42" s="72">
        <v>1</v>
      </c>
      <c r="M42" s="72">
        <f>M41*L42</f>
        <v>1.0733973590230197</v>
      </c>
      <c r="N42" s="72">
        <f t="shared" ref="N42:O42" si="15">N41*M42</f>
        <v>1.1135243917275983</v>
      </c>
      <c r="O42" s="72">
        <f t="shared" si="15"/>
        <v>1.1484894486422237</v>
      </c>
      <c r="P42" s="47"/>
      <c r="Q42" s="47"/>
      <c r="R42" s="44" t="s">
        <v>166</v>
      </c>
    </row>
    <row r="43" spans="1:18" x14ac:dyDescent="0.25">
      <c r="C43" s="27">
        <f>C23/C42</f>
        <v>17.614330937470616</v>
      </c>
      <c r="D43" s="27">
        <f t="shared" ref="D43:O43" si="16">D23/D42</f>
        <v>-264.729333290201</v>
      </c>
      <c r="E43" s="27">
        <f t="shared" si="16"/>
        <v>-528.52738127133944</v>
      </c>
      <c r="F43" s="27">
        <f>F23/F42</f>
        <v>-240.49061633876221</v>
      </c>
      <c r="G43" s="27">
        <f t="shared" si="16"/>
        <v>196.51905872243424</v>
      </c>
      <c r="H43" s="27">
        <f t="shared" si="16"/>
        <v>10.167931991092125</v>
      </c>
      <c r="I43" s="27">
        <f t="shared" si="16"/>
        <v>-111.53630106721729</v>
      </c>
      <c r="J43" s="27">
        <f t="shared" si="16"/>
        <v>-502.65323547289182</v>
      </c>
      <c r="K43" s="27">
        <f t="shared" si="16"/>
        <v>501.91186396668354</v>
      </c>
      <c r="L43" s="27">
        <f t="shared" si="16"/>
        <v>1340.9164109986907</v>
      </c>
      <c r="M43" s="27">
        <f t="shared" si="16"/>
        <v>457.25171372972233</v>
      </c>
      <c r="N43" s="27">
        <f t="shared" si="16"/>
        <v>-263.44869898002446</v>
      </c>
      <c r="O43" s="27">
        <f t="shared" si="16"/>
        <v>-404.03949913726819</v>
      </c>
      <c r="P43" s="27"/>
      <c r="Q43" s="27"/>
      <c r="R43" s="44" t="s">
        <v>167</v>
      </c>
    </row>
    <row r="46" spans="1:18" x14ac:dyDescent="0.25">
      <c r="D46" t="s">
        <v>156</v>
      </c>
    </row>
    <row r="47" spans="1:18" x14ac:dyDescent="0.25">
      <c r="E47" s="38" t="s">
        <v>157</v>
      </c>
    </row>
    <row r="48" spans="1:18" x14ac:dyDescent="0.25">
      <c r="E48" s="27">
        <f>SUM(C43:J43)</f>
        <v>-1423.6355457894147</v>
      </c>
    </row>
    <row r="49" spans="1:34" x14ac:dyDescent="0.25">
      <c r="D49" t="s">
        <v>158</v>
      </c>
    </row>
    <row r="50" spans="1:34" x14ac:dyDescent="0.25">
      <c r="E50" s="27">
        <f>SUM(K43:O43)</f>
        <v>1632.5917905778042</v>
      </c>
    </row>
    <row r="51" spans="1:34" x14ac:dyDescent="0.25">
      <c r="D51" t="s">
        <v>159</v>
      </c>
    </row>
    <row r="52" spans="1:34" x14ac:dyDescent="0.25">
      <c r="E52" s="27">
        <f>E48+E50</f>
        <v>208.95624478838954</v>
      </c>
    </row>
    <row r="53" spans="1:34" x14ac:dyDescent="0.25">
      <c r="D53" t="s">
        <v>160</v>
      </c>
    </row>
    <row r="54" spans="1:34" x14ac:dyDescent="0.25">
      <c r="E54" s="27">
        <f>SUM(C43:L43)</f>
        <v>419.19272917595958</v>
      </c>
      <c r="G54" s="1"/>
    </row>
    <row r="55" spans="1:34" x14ac:dyDescent="0.25">
      <c r="G55" s="1"/>
    </row>
    <row r="56" spans="1:34" x14ac:dyDescent="0.25">
      <c r="A56" t="s">
        <v>168</v>
      </c>
      <c r="E56" s="1"/>
      <c r="F56" s="1"/>
    </row>
    <row r="57" spans="1:34" x14ac:dyDescent="0.25">
      <c r="E57" s="71">
        <f>AVERAGE(C40:O40)</f>
        <v>6.5264563699938244E-2</v>
      </c>
      <c r="R57" s="44" t="s">
        <v>169</v>
      </c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</row>
    <row r="58" spans="1:34" x14ac:dyDescent="0.25">
      <c r="E58" s="51">
        <f>SUM(Data!E$38:Q$40)/SUM(Data!E$38:Q$50,)*Data!$E214 + SUM(Data!E$41:Q$48)/SUM(Data!E$38:Q$50)*Data!$E215 + SUM(Data!E$49:Q$50)/SUM(Data!E$38:Q$50)*Data!$E216</f>
        <v>25.600832428065267</v>
      </c>
      <c r="R58" s="44" t="s">
        <v>170</v>
      </c>
    </row>
    <row r="59" spans="1:34" x14ac:dyDescent="0.25">
      <c r="E59" s="22">
        <f>SUM(Data!E$38:Q$40)/SUM(Data!E$38:Q$50,)*Data!$F214 + SUM(Data!E$41:Q$48)/SUM(Data!E$38:Q$50)*Data!$F215 + SUM(Data!E$49:Q$50)/SUM(Data!E$38:Q$50)*Data!$F216</f>
        <v>0.94974589259696707</v>
      </c>
      <c r="R59" s="44" t="s">
        <v>171</v>
      </c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</row>
    <row r="60" spans="1:34" x14ac:dyDescent="0.25">
      <c r="E60" s="22">
        <f>SUM(Data!E$38:Q$40)/SUM(Data!E$38:Q$50,)*Data!$G214 + SUM(Data!E$41:Q$48)/SUM(Data!E$38:Q$50)*Data!$G215 + SUM(Data!E$49:Q$50)/SUM(Data!E$38:Q$50)*Data!$G216</f>
        <v>0.58389923283547773</v>
      </c>
      <c r="R60" s="44" t="s">
        <v>172</v>
      </c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</row>
    <row r="61" spans="1:34" x14ac:dyDescent="0.25">
      <c r="E61" s="49">
        <f>-ROUND(PMT(E57,45,(E52*E60)/(E58*E59)),1)</f>
        <v>0.3</v>
      </c>
      <c r="R61" s="44" t="s">
        <v>173</v>
      </c>
    </row>
    <row r="63" spans="1:34" x14ac:dyDescent="0.25">
      <c r="A63" t="s">
        <v>174</v>
      </c>
    </row>
    <row r="64" spans="1:34" x14ac:dyDescent="0.25">
      <c r="E64" s="71">
        <f>AVERAGE(C40:L40)</f>
        <v>7.0625841368447934E-2</v>
      </c>
      <c r="R64" s="44" t="s">
        <v>169</v>
      </c>
    </row>
    <row r="65" spans="5:18" x14ac:dyDescent="0.25">
      <c r="E65" s="51">
        <f>SUM(Data!E$38:N$40)/SUM(Data!E$38:N$50,)*Data!$E214 + SUM(Data!E$41:N$48)/SUM(Data!E$38:N$50)*Data!$E215 + SUM(Data!E$49:N$50)/SUM(Data!E$38:N$50)*Data!$E216</f>
        <v>25.497063909778273</v>
      </c>
      <c r="R65" s="44" t="s">
        <v>170</v>
      </c>
    </row>
    <row r="66" spans="5:18" x14ac:dyDescent="0.25">
      <c r="E66" s="22">
        <f>SUM(Data!E$38:N$40)/SUM(Data!E$38:N$50,)*Data!$F214 + SUM(Data!E$41:N$48)/SUM(Data!E$38:N$50)*Data!$F215 + SUM(Data!E$49:N$50)/SUM(Data!E$38:N$50)*Data!$F216</f>
        <v>0.9506426575698177</v>
      </c>
      <c r="R66" s="44" t="s">
        <v>171</v>
      </c>
    </row>
    <row r="67" spans="5:18" x14ac:dyDescent="0.25">
      <c r="E67" s="22">
        <f>SUM(Data!E$38:N$40)/SUM(Data!E$38:N$50,)*Data!$G214 + SUM(Data!E$41:N$48)/SUM(Data!E$38:N$50)*Data!$G215 + SUM(Data!E$49:N$50)/SUM(Data!E$38:N$50)*Data!$G216</f>
        <v>0.59030469692726784</v>
      </c>
      <c r="R67" s="44" t="s">
        <v>172</v>
      </c>
    </row>
    <row r="68" spans="5:18" x14ac:dyDescent="0.25">
      <c r="E68" s="49">
        <f>-ROUND(PMT(E64,45,(E54*E67)/(E65*E66)),1)</f>
        <v>0.8</v>
      </c>
      <c r="R68" s="44" t="s">
        <v>173</v>
      </c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Drop Down 3">
              <controlPr defaultSize="0" autoLine="0" autoPict="0" altText="Drop-down box allowing user to switch between OBR and HMT inflation forecasts.">
                <anchor moveWithCells="1">
                  <from>
                    <xdr:col>18</xdr:col>
                    <xdr:colOff>266700</xdr:colOff>
                    <xdr:row>1</xdr:row>
                    <xdr:rowOff>9525</xdr:rowOff>
                  </from>
                  <to>
                    <xdr:col>21</xdr:col>
                    <xdr:colOff>57150</xdr:colOff>
                    <xdr:row>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37C31-A0EA-42F6-B9DF-5B87A2BF7B24}">
  <sheetPr>
    <pageSetUpPr autoPageBreaks="0"/>
  </sheetPr>
  <dimension ref="A2:AC68"/>
  <sheetViews>
    <sheetView zoomScaleNormal="100" workbookViewId="0"/>
  </sheetViews>
  <sheetFormatPr defaultRowHeight="15" x14ac:dyDescent="0.25"/>
  <cols>
    <col min="1" max="1" width="7" customWidth="1"/>
    <col min="2" max="3" width="2" customWidth="1"/>
    <col min="4" max="11" width="6.7109375" customWidth="1"/>
    <col min="12" max="12" width="7.7109375" customWidth="1"/>
    <col min="13" max="13" width="7.85546875" customWidth="1"/>
    <col min="14" max="17" width="6.7109375" customWidth="1"/>
    <col min="18" max="18" width="23" style="20" customWidth="1"/>
  </cols>
  <sheetData>
    <row r="2" spans="1:29" x14ac:dyDescent="0.25">
      <c r="B2" s="2" t="s">
        <v>175</v>
      </c>
      <c r="C2" s="2" t="s">
        <v>175</v>
      </c>
      <c r="D2" s="2">
        <v>2015</v>
      </c>
      <c r="E2" s="2">
        <v>2016</v>
      </c>
      <c r="F2" s="2">
        <v>2017</v>
      </c>
      <c r="G2" s="2">
        <v>2018</v>
      </c>
      <c r="H2" s="2">
        <v>2019</v>
      </c>
      <c r="I2" s="2">
        <v>2020</v>
      </c>
      <c r="J2" s="2">
        <v>2021</v>
      </c>
      <c r="K2" s="2">
        <v>2022</v>
      </c>
      <c r="L2" s="2">
        <v>2023</v>
      </c>
      <c r="M2" s="2">
        <v>2024</v>
      </c>
      <c r="N2" s="2">
        <v>2025</v>
      </c>
      <c r="O2" s="2">
        <v>2026</v>
      </c>
      <c r="P2" s="2">
        <v>2027</v>
      </c>
      <c r="Q2" s="2">
        <v>2028</v>
      </c>
      <c r="R2" s="19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t="s">
        <v>95</v>
      </c>
      <c r="D3" s="43">
        <f>'Sector values'!F47</f>
        <v>22076.806913416429</v>
      </c>
      <c r="E3" s="25">
        <f>'Sector values'!G47</f>
        <v>22076.806913416429</v>
      </c>
      <c r="F3" s="25">
        <f>'Sector values'!H47</f>
        <v>22461.714027422095</v>
      </c>
      <c r="G3" s="25">
        <f>'Sector values'!I47</f>
        <v>22812.163468668554</v>
      </c>
      <c r="H3" s="25">
        <f>'Sector values'!J47</f>
        <v>23126.471420351281</v>
      </c>
      <c r="I3" s="25">
        <f>'Sector values'!K47</f>
        <v>23433.930256498581</v>
      </c>
      <c r="J3" s="25">
        <f>'Sector values'!L47</f>
        <v>23745.43432363739</v>
      </c>
      <c r="K3" s="25">
        <f>'Sector values'!M47</f>
        <v>24110.842068453258</v>
      </c>
      <c r="L3" s="25">
        <f>'Sector values'!N47</f>
        <v>24566.478611331444</v>
      </c>
      <c r="M3" s="25">
        <f>'Sector values'!O47</f>
        <v>25111.618273733708</v>
      </c>
      <c r="N3" s="25">
        <f>'Sector values'!P47</f>
        <v>26062.712604453256</v>
      </c>
      <c r="O3" s="25">
        <f>'Sector values'!Q47</f>
        <v>27130.938432113315</v>
      </c>
      <c r="P3" s="25">
        <f>'Sector values'!R47</f>
        <v>28157.4301541983</v>
      </c>
      <c r="Q3" s="25">
        <f>'Sector values'!S47</f>
        <v>29060.796874719548</v>
      </c>
      <c r="R3" s="20" t="s">
        <v>176</v>
      </c>
    </row>
    <row r="4" spans="1:29" x14ac:dyDescent="0.25">
      <c r="R4"/>
    </row>
    <row r="5" spans="1:29" x14ac:dyDescent="0.25">
      <c r="A5" t="s">
        <v>97</v>
      </c>
      <c r="D5" s="35">
        <v>1</v>
      </c>
      <c r="E5" s="35">
        <f>'Sector values'!G35+1</f>
        <v>1.0107792207792208</v>
      </c>
      <c r="F5" s="35">
        <f>'Sector values'!H35+1</f>
        <v>1.0214249004240012</v>
      </c>
      <c r="G5" s="35">
        <f>'Sector values'!I35+1</f>
        <v>1.037422560457876</v>
      </c>
      <c r="H5" s="35">
        <f>'Sector values'!J35+1</f>
        <v>1.0305556397587075</v>
      </c>
      <c r="I5" s="35">
        <f>'Sector values'!K35+1</f>
        <v>1.0258846368797245</v>
      </c>
      <c r="J5" s="35">
        <f>'Sector values'!L35+1</f>
        <v>1.0121283367262093</v>
      </c>
      <c r="K5" s="35">
        <f>'Sector values'!M35+1</f>
        <v>1.0577620396600564</v>
      </c>
      <c r="L5" s="35">
        <f>'Sector values'!N35+1</f>
        <v>1.1287393877714991</v>
      </c>
      <c r="M5" s="35">
        <f>'Sector values'!O35+1</f>
        <v>1.052494606251392</v>
      </c>
      <c r="N5" s="35">
        <f>'Sector values'!P35+1</f>
        <v>1.0060915819839344</v>
      </c>
      <c r="O5" s="35">
        <f>'Sector values'!Q35+1</f>
        <v>0.99977778630614578</v>
      </c>
      <c r="P5" s="35">
        <f>'Sector values'!R35+1</f>
        <v>1.008398414871114</v>
      </c>
      <c r="Q5" s="35">
        <f>'Sector values'!S35+1</f>
        <v>1.0173651498345342</v>
      </c>
      <c r="R5" s="20" t="s">
        <v>98</v>
      </c>
      <c r="W5" s="2"/>
    </row>
    <row r="6" spans="1:29" ht="17.25" x14ac:dyDescent="0.25">
      <c r="A6" t="s">
        <v>99</v>
      </c>
      <c r="D6" s="35">
        <v>1</v>
      </c>
      <c r="E6" s="35">
        <f>'Sector values'!G41+1</f>
        <v>1.0291379435497807</v>
      </c>
      <c r="F6" s="35">
        <f>'Sector values'!H41+1</f>
        <v>1.0290818675591691</v>
      </c>
      <c r="G6" s="35">
        <f>'Sector values'!I41+1</f>
        <v>1.0289218766325237</v>
      </c>
      <c r="H6" s="35">
        <f>'Sector values'!J41+1</f>
        <v>1.0291982769125176</v>
      </c>
      <c r="I6" s="35">
        <f>'Sector values'!K41+1</f>
        <v>1.0294216181061742</v>
      </c>
      <c r="J6" s="35">
        <f>'Sector values'!L41+1</f>
        <v>1.0297414161547358</v>
      </c>
      <c r="K6" s="35">
        <f>'Sector values'!M41+1</f>
        <v>1.0299023462209034</v>
      </c>
      <c r="L6" s="35">
        <f>'Sector values'!N41+1</f>
        <v>1.030282501167429</v>
      </c>
      <c r="M6" s="35">
        <f>'Sector values'!O41+1</f>
        <v>1.0200164132357479</v>
      </c>
      <c r="N6" s="35">
        <f>'Sector values'!P41+1</f>
        <v>1.019813765156266</v>
      </c>
      <c r="O6" s="35">
        <f>'Sector values'!Q41+1</f>
        <v>1.019813795145774</v>
      </c>
      <c r="P6" s="35">
        <f>'Sector values'!R41+1</f>
        <v>1.0198137651562655</v>
      </c>
      <c r="Q6" s="35">
        <f>'Sector values'!S41+1</f>
        <v>1.0198137651562655</v>
      </c>
      <c r="R6" s="20" t="s">
        <v>100</v>
      </c>
    </row>
    <row r="7" spans="1:29" x14ac:dyDescent="0.25">
      <c r="A7" t="s">
        <v>123</v>
      </c>
      <c r="D7" s="67">
        <f>PRODUCT($D5:D5)</f>
        <v>1</v>
      </c>
      <c r="E7" s="67">
        <f>PRODUCT($D5:E5)</f>
        <v>1.0107792207792208</v>
      </c>
      <c r="F7" s="67">
        <f>PRODUCT($D5:F5)</f>
        <v>1.0324350649350651</v>
      </c>
      <c r="G7" s="67">
        <f>PRODUCT($D5:G5)</f>
        <v>1.0710714285714287</v>
      </c>
      <c r="H7" s="67">
        <f>PRODUCT($D5:H5)</f>
        <v>1.1037987012987014</v>
      </c>
      <c r="I7" s="67">
        <f>PRODUCT($D5:I5)</f>
        <v>1.1323701298701299</v>
      </c>
      <c r="J7" s="67">
        <f>PRODUCT($D5:J5)</f>
        <v>1.1461038961038961</v>
      </c>
      <c r="K7" s="67">
        <f>PRODUCT($D5:K5)</f>
        <v>1.2123051948051946</v>
      </c>
      <c r="L7" s="67">
        <f>PRODUCT($D5:L5)</f>
        <v>1.3683766233766232</v>
      </c>
      <c r="M7" s="67">
        <f>PRODUCT($D5:M5)</f>
        <v>1.4402090154243885</v>
      </c>
      <c r="N7" s="67">
        <f>PRODUCT($D5:N5)</f>
        <v>1.4489821667158478</v>
      </c>
      <c r="O7" s="67">
        <f>PRODUCT($D5:O5)</f>
        <v>1.4486601830362529</v>
      </c>
      <c r="P7" s="67">
        <f>PRODUCT($D5:P5)</f>
        <v>1.4608266322606553</v>
      </c>
      <c r="Q7" s="67">
        <f>PRODUCT($D5:Q5)</f>
        <v>1.4861941056121395</v>
      </c>
      <c r="R7" s="20" t="s">
        <v>124</v>
      </c>
    </row>
    <row r="8" spans="1:29" x14ac:dyDescent="0.25"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/>
    </row>
    <row r="9" spans="1:29" ht="17.25" customHeight="1" x14ac:dyDescent="0.35">
      <c r="A9" t="s">
        <v>126</v>
      </c>
      <c r="E9" s="68">
        <f>(E3-D3)*E7</f>
        <v>0</v>
      </c>
      <c r="F9" s="68">
        <f>(F3-E3)*F7</f>
        <v>397.39160124240806</v>
      </c>
      <c r="G9" s="68">
        <f t="shared" ref="G9:P9" si="0">(G3-F3)*G7</f>
        <v>375.35638367790398</v>
      </c>
      <c r="H9" s="68">
        <f>(H3-G3)*H7</f>
        <v>346.93270887524955</v>
      </c>
      <c r="I9" s="68">
        <f t="shared" si="0"/>
        <v>348.15720221783675</v>
      </c>
      <c r="J9" s="68">
        <f>(J3-I3)*J7</f>
        <v>357.01602499999831</v>
      </c>
      <c r="K9" s="68">
        <f t="shared" si="0"/>
        <v>442.98570726232742</v>
      </c>
      <c r="L9" s="68">
        <f>(L3-K3)*L7</f>
        <v>623.48239403065077</v>
      </c>
      <c r="M9" s="68">
        <f t="shared" si="0"/>
        <v>785.1150564571476</v>
      </c>
      <c r="N9" s="68">
        <f t="shared" si="0"/>
        <v>1378.1187240771703</v>
      </c>
      <c r="O9" s="68">
        <f>(O3-N3)*O7</f>
        <v>1547.4962230220733</v>
      </c>
      <c r="P9" s="68">
        <f t="shared" si="0"/>
        <v>1499.5264454168503</v>
      </c>
      <c r="Q9" s="68">
        <f>(Q3-P3)*Q7</f>
        <v>1342.5782952448474</v>
      </c>
      <c r="R9" s="20" t="s">
        <v>127</v>
      </c>
    </row>
    <row r="10" spans="1:29" x14ac:dyDescent="0.25"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/>
    </row>
    <row r="11" spans="1:29" ht="17.25" x14ac:dyDescent="0.25">
      <c r="A11" t="s">
        <v>129</v>
      </c>
      <c r="D11" s="68">
        <f t="shared" ref="D11" si="1">D3*D7</f>
        <v>22076.806913416429</v>
      </c>
      <c r="E11" s="68">
        <f t="shared" ref="E11:Q11" si="2">E3*E7</f>
        <v>22314.777689236373</v>
      </c>
      <c r="F11" s="68">
        <f>F3*F7</f>
        <v>23190.261180454392</v>
      </c>
      <c r="G11" s="68">
        <f t="shared" si="2"/>
        <v>24433.456515191785</v>
      </c>
      <c r="H11" s="68">
        <f>H3*H7</f>
        <v>25526.969119405279</v>
      </c>
      <c r="I11" s="68">
        <f t="shared" si="2"/>
        <v>26535.882647918865</v>
      </c>
      <c r="J11" s="68">
        <f t="shared" si="2"/>
        <v>27214.734792999996</v>
      </c>
      <c r="K11" s="68">
        <f>K3*K7</f>
        <v>29229.699090713508</v>
      </c>
      <c r="L11" s="68">
        <f>L3*L7</f>
        <v>33616.195050427756</v>
      </c>
      <c r="M11" s="68">
        <f t="shared" si="2"/>
        <v>36165.979029727103</v>
      </c>
      <c r="N11" s="68">
        <f>N3*N7</f>
        <v>37764.405780093119</v>
      </c>
      <c r="O11" s="68">
        <f t="shared" si="2"/>
        <v>39303.510235010581</v>
      </c>
      <c r="P11" s="68">
        <f t="shared" si="2"/>
        <v>41133.123865272129</v>
      </c>
      <c r="Q11" s="68">
        <f t="shared" si="2"/>
        <v>43189.985019599881</v>
      </c>
      <c r="R11" s="20" t="s">
        <v>130</v>
      </c>
    </row>
    <row r="12" spans="1:29" ht="17.25" x14ac:dyDescent="0.25">
      <c r="A12" t="s">
        <v>132</v>
      </c>
      <c r="D12" s="68">
        <f>D3</f>
        <v>22076.806913416429</v>
      </c>
      <c r="E12" s="68">
        <f>D12*E6+E9</f>
        <v>22720.079667018967</v>
      </c>
      <c r="F12" s="68">
        <f>E12*F6+F9</f>
        <v>23778.213616071393</v>
      </c>
      <c r="G12" s="68">
        <f>F12*G6+G9</f>
        <v>24841.280560495106</v>
      </c>
      <c r="H12" s="68">
        <f t="shared" ref="H12:Q12" si="3">G12*H6+H9</f>
        <v>25913.535858037234</v>
      </c>
      <c r="I12" s="68">
        <f>H12*I6+I9</f>
        <v>27024.111216050893</v>
      </c>
      <c r="J12" s="68">
        <f t="shared" si="3"/>
        <v>28184.862578939323</v>
      </c>
      <c r="K12" s="68">
        <f t="shared" si="3"/>
        <v>29470.641805225678</v>
      </c>
      <c r="L12" s="68">
        <f>K12*L6+L9</f>
        <v>30986.568944127961</v>
      </c>
      <c r="M12" s="68">
        <f t="shared" si="3"/>
        <v>32391.923969328764</v>
      </c>
      <c r="N12" s="68">
        <f t="shared" si="3"/>
        <v>34411.848667893835</v>
      </c>
      <c r="O12" s="68">
        <f t="shared" si="3"/>
        <v>36641.174211008925</v>
      </c>
      <c r="P12" s="68">
        <f t="shared" si="3"/>
        <v>38866.700277292519</v>
      </c>
      <c r="Q12" s="68">
        <f t="shared" si="3"/>
        <v>40979.374244230603</v>
      </c>
      <c r="R12" s="20" t="s">
        <v>133</v>
      </c>
    </row>
    <row r="13" spans="1:29" x14ac:dyDescent="0.25"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/>
    </row>
    <row r="14" spans="1:29" x14ac:dyDescent="0.25">
      <c r="A14" t="s">
        <v>101</v>
      </c>
      <c r="E14" s="68">
        <f>(E11-E12)-(D11-D12)</f>
        <v>-405.30197778259389</v>
      </c>
      <c r="F14" s="68">
        <f>(F11-F12)-(E11-E12)</f>
        <v>-182.65045783440655</v>
      </c>
      <c r="G14" s="68">
        <f t="shared" ref="G14:Q14" si="4">(G11-G12)-(F11-F12)</f>
        <v>180.12839031367912</v>
      </c>
      <c r="H14" s="68">
        <f t="shared" si="4"/>
        <v>21.257306671366678</v>
      </c>
      <c r="I14" s="68">
        <f t="shared" si="4"/>
        <v>-101.66182950007351</v>
      </c>
      <c r="J14" s="68">
        <f t="shared" si="4"/>
        <v>-481.89921780729856</v>
      </c>
      <c r="K14" s="68">
        <f t="shared" si="4"/>
        <v>729.1850714271568</v>
      </c>
      <c r="L14" s="68">
        <f t="shared" si="4"/>
        <v>2870.5688208119645</v>
      </c>
      <c r="M14" s="68">
        <f t="shared" si="4"/>
        <v>1144.4289540985446</v>
      </c>
      <c r="N14" s="68">
        <f t="shared" si="4"/>
        <v>-421.49794819905583</v>
      </c>
      <c r="O14" s="68">
        <f t="shared" si="4"/>
        <v>-690.22108819762798</v>
      </c>
      <c r="P14" s="68">
        <f t="shared" si="4"/>
        <v>-395.91243602204486</v>
      </c>
      <c r="Q14" s="68">
        <f t="shared" si="4"/>
        <v>-55.812812610332912</v>
      </c>
      <c r="R14" s="20" t="s">
        <v>135</v>
      </c>
    </row>
    <row r="15" spans="1:29" x14ac:dyDescent="0.25">
      <c r="F15" s="1"/>
      <c r="G15" s="1"/>
      <c r="H15" s="1"/>
      <c r="I15" s="1"/>
      <c r="J15" s="1"/>
      <c r="K15" s="1"/>
      <c r="L15" s="52"/>
      <c r="M15" s="52"/>
      <c r="N15" s="52"/>
      <c r="O15" s="52"/>
      <c r="P15" s="52"/>
      <c r="Q15" s="52"/>
    </row>
    <row r="16" spans="1:29" x14ac:dyDescent="0.25">
      <c r="A16" t="s">
        <v>104</v>
      </c>
      <c r="E16" s="22">
        <f>'Sector values'!G51</f>
        <v>0.65000000000000013</v>
      </c>
      <c r="F16" s="22">
        <f>'Sector values'!H51</f>
        <v>0.64999999999999991</v>
      </c>
      <c r="G16" s="22">
        <f>'Sector values'!I51</f>
        <v>0.65000000000000013</v>
      </c>
      <c r="H16" s="22">
        <f>'Sector values'!J51</f>
        <v>0.64999999999999991</v>
      </c>
      <c r="I16" s="22">
        <f>'Sector values'!K51</f>
        <v>0.65</v>
      </c>
      <c r="J16" s="22">
        <f>'Sector values'!L51</f>
        <v>0.65000000000000024</v>
      </c>
      <c r="K16" s="22">
        <f>'Sector values'!M51</f>
        <v>0.65</v>
      </c>
      <c r="L16" s="22">
        <f>'Sector values'!N51</f>
        <v>0.65</v>
      </c>
      <c r="M16" s="22">
        <f>'Sector values'!O51</f>
        <v>0.60000000000000009</v>
      </c>
      <c r="N16" s="22">
        <f>'Sector values'!P51</f>
        <v>0.6</v>
      </c>
      <c r="O16" s="22">
        <f>'Sector values'!Q51</f>
        <v>0.6</v>
      </c>
      <c r="P16" s="22">
        <f>'Sector values'!R51</f>
        <v>0.6</v>
      </c>
      <c r="Q16" s="22">
        <f>'Sector values'!S51</f>
        <v>0.59999999999999987</v>
      </c>
      <c r="R16" s="20" t="s">
        <v>105</v>
      </c>
    </row>
    <row r="17" spans="1:18" x14ac:dyDescent="0.25">
      <c r="A17" t="s">
        <v>106</v>
      </c>
      <c r="E17" s="22">
        <f>'Sector values'!G52</f>
        <v>0.25</v>
      </c>
      <c r="F17" s="22">
        <f>'Sector values'!H52</f>
        <v>0.25</v>
      </c>
      <c r="G17" s="22">
        <f>'Sector values'!I52</f>
        <v>0.25</v>
      </c>
      <c r="H17" s="22">
        <f>'Sector values'!J52</f>
        <v>0.25</v>
      </c>
      <c r="I17" s="22">
        <f>'Sector values'!K52</f>
        <v>0.25</v>
      </c>
      <c r="J17" s="22">
        <f>'Sector values'!L52</f>
        <v>0.25</v>
      </c>
      <c r="K17" s="22">
        <f>'Sector values'!M52</f>
        <v>0.25</v>
      </c>
      <c r="L17" s="22">
        <f>'Sector values'!N52</f>
        <v>0.25</v>
      </c>
      <c r="M17" s="22">
        <f>'Sector values'!O52</f>
        <v>0.25</v>
      </c>
      <c r="N17" s="22">
        <f>'Sector values'!P52</f>
        <v>0.25</v>
      </c>
      <c r="O17" s="22">
        <f>'Sector values'!Q52</f>
        <v>0.25</v>
      </c>
      <c r="P17" s="22">
        <f>'Sector values'!R52</f>
        <v>0.25</v>
      </c>
      <c r="Q17" s="22">
        <f>'Sector values'!S52</f>
        <v>0.25</v>
      </c>
      <c r="R17" s="20" t="s">
        <v>107</v>
      </c>
    </row>
    <row r="19" spans="1:18" x14ac:dyDescent="0.25">
      <c r="A19" t="s">
        <v>108</v>
      </c>
      <c r="E19" s="68">
        <f t="shared" ref="E19" si="5">E16*E17*E14</f>
        <v>-65.861571389671525</v>
      </c>
      <c r="F19" s="68">
        <f t="shared" ref="F19:Q19" si="6">F16*F17*F14</f>
        <v>-29.680699398091061</v>
      </c>
      <c r="G19" s="68">
        <f t="shared" si="6"/>
        <v>29.270863425972863</v>
      </c>
      <c r="H19" s="68">
        <f t="shared" si="6"/>
        <v>3.4543123340970845</v>
      </c>
      <c r="I19" s="68">
        <f t="shared" si="6"/>
        <v>-16.520047293761944</v>
      </c>
      <c r="J19" s="68">
        <f t="shared" si="6"/>
        <v>-78.308622893686049</v>
      </c>
      <c r="K19" s="68">
        <f t="shared" si="6"/>
        <v>118.49257410691298</v>
      </c>
      <c r="L19" s="68">
        <f t="shared" si="6"/>
        <v>466.46743338194426</v>
      </c>
      <c r="M19" s="68">
        <f t="shared" si="6"/>
        <v>171.66434311478173</v>
      </c>
      <c r="N19" s="68">
        <f t="shared" si="6"/>
        <v>-63.22469222985837</v>
      </c>
      <c r="O19" s="68">
        <f t="shared" si="6"/>
        <v>-103.53316322964419</v>
      </c>
      <c r="P19" s="68">
        <f t="shared" si="6"/>
        <v>-59.386865403306729</v>
      </c>
      <c r="Q19" s="68">
        <f t="shared" si="6"/>
        <v>-8.3719218915499347</v>
      </c>
      <c r="R19" s="20" t="s">
        <v>109</v>
      </c>
    </row>
    <row r="20" spans="1:18" x14ac:dyDescent="0.25">
      <c r="A20" t="s">
        <v>111</v>
      </c>
      <c r="E20" s="68">
        <f t="shared" ref="E20" si="7">E14*(1-E16*E17)</f>
        <v>-339.44040639292234</v>
      </c>
      <c r="F20" s="68">
        <f t="shared" ref="F20:Q20" si="8">F14*(1-F16*F17)</f>
        <v>-152.96975843631549</v>
      </c>
      <c r="G20" s="68">
        <f t="shared" si="8"/>
        <v>150.85752688770626</v>
      </c>
      <c r="H20" s="68">
        <f t="shared" si="8"/>
        <v>17.802994337269592</v>
      </c>
      <c r="I20" s="68">
        <f t="shared" si="8"/>
        <v>-85.141782206311561</v>
      </c>
      <c r="J20" s="68">
        <f t="shared" si="8"/>
        <v>-403.59059491361251</v>
      </c>
      <c r="K20" s="68">
        <f t="shared" si="8"/>
        <v>610.69249732024389</v>
      </c>
      <c r="L20" s="68">
        <f t="shared" si="8"/>
        <v>2404.1013874300202</v>
      </c>
      <c r="M20" s="68">
        <f t="shared" si="8"/>
        <v>972.76461098376296</v>
      </c>
      <c r="N20" s="68">
        <f t="shared" si="8"/>
        <v>-358.27325596919746</v>
      </c>
      <c r="O20" s="68">
        <f t="shared" si="8"/>
        <v>-586.6879249679838</v>
      </c>
      <c r="P20" s="68">
        <f t="shared" si="8"/>
        <v>-336.52557061873813</v>
      </c>
      <c r="Q20" s="68">
        <f t="shared" si="8"/>
        <v>-47.440890718782981</v>
      </c>
      <c r="R20" s="20" t="s">
        <v>112</v>
      </c>
    </row>
    <row r="21" spans="1:18" x14ac:dyDescent="0.25">
      <c r="A21" t="s">
        <v>114</v>
      </c>
      <c r="E21" s="68">
        <f t="shared" ref="E21" si="9">E14*(1-E16)</f>
        <v>-141.85569222390779</v>
      </c>
      <c r="F21" s="68">
        <f t="shared" ref="F21:Q21" si="10">F14*(1-F16)</f>
        <v>-63.927660242042307</v>
      </c>
      <c r="G21" s="68">
        <f t="shared" si="10"/>
        <v>63.044936609787669</v>
      </c>
      <c r="H21" s="68">
        <f t="shared" si="10"/>
        <v>7.4400573349783388</v>
      </c>
      <c r="I21" s="68">
        <f t="shared" si="10"/>
        <v>-35.581640325025724</v>
      </c>
      <c r="J21" s="68">
        <f t="shared" si="10"/>
        <v>-168.66472623255439</v>
      </c>
      <c r="K21" s="68">
        <f t="shared" si="10"/>
        <v>255.21477499950487</v>
      </c>
      <c r="L21" s="68">
        <f t="shared" si="10"/>
        <v>1004.6990872841875</v>
      </c>
      <c r="M21" s="68">
        <f t="shared" si="10"/>
        <v>457.77158163941778</v>
      </c>
      <c r="N21" s="68">
        <f t="shared" si="10"/>
        <v>-168.59917927962235</v>
      </c>
      <c r="O21" s="68">
        <f t="shared" si="10"/>
        <v>-276.08843527905123</v>
      </c>
      <c r="P21" s="68">
        <f t="shared" si="10"/>
        <v>-158.36497440881794</v>
      </c>
      <c r="Q21" s="68">
        <f t="shared" si="10"/>
        <v>-22.325125044133173</v>
      </c>
      <c r="R21" s="20" t="s">
        <v>115</v>
      </c>
    </row>
    <row r="22" spans="1:18" x14ac:dyDescent="0.25">
      <c r="R22"/>
    </row>
    <row r="23" spans="1:18" x14ac:dyDescent="0.25">
      <c r="A23" t="s">
        <v>117</v>
      </c>
      <c r="E23" s="27">
        <f>E14*E16*(1-E17)</f>
        <v>-197.58471416901457</v>
      </c>
      <c r="F23" s="27">
        <f>F14*F16*(1-F17)</f>
        <v>-89.04209819427318</v>
      </c>
      <c r="G23" s="27">
        <f t="shared" ref="G23:Q23" si="11">G14*G16*(1-G17)</f>
        <v>87.812590277918588</v>
      </c>
      <c r="H23" s="27">
        <f t="shared" si="11"/>
        <v>10.362937002291254</v>
      </c>
      <c r="I23" s="27">
        <f t="shared" si="11"/>
        <v>-49.56014188128583</v>
      </c>
      <c r="J23" s="27">
        <f t="shared" si="11"/>
        <v>-234.92586868105815</v>
      </c>
      <c r="K23" s="27">
        <f t="shared" si="11"/>
        <v>355.47772232073896</v>
      </c>
      <c r="L23" s="27">
        <f t="shared" si="11"/>
        <v>1399.4023001458327</v>
      </c>
      <c r="M23" s="27">
        <f t="shared" si="11"/>
        <v>514.99302934434513</v>
      </c>
      <c r="N23" s="27">
        <f t="shared" si="11"/>
        <v>-189.67407668957512</v>
      </c>
      <c r="O23" s="27">
        <f t="shared" si="11"/>
        <v>-310.59948968893258</v>
      </c>
      <c r="P23" s="27">
        <f t="shared" si="11"/>
        <v>-178.16059620992019</v>
      </c>
      <c r="Q23" s="27">
        <f t="shared" si="11"/>
        <v>-25.115765674649804</v>
      </c>
      <c r="R23" s="20" t="s">
        <v>118</v>
      </c>
    </row>
    <row r="25" spans="1:18" x14ac:dyDescent="0.25">
      <c r="R25"/>
    </row>
    <row r="26" spans="1:18" x14ac:dyDescent="0.25">
      <c r="D26" t="s">
        <v>156</v>
      </c>
    </row>
    <row r="27" spans="1:18" x14ac:dyDescent="0.25">
      <c r="E27" s="38" t="s">
        <v>157</v>
      </c>
      <c r="K27" s="1"/>
    </row>
    <row r="28" spans="1:18" x14ac:dyDescent="0.25">
      <c r="E28" s="27">
        <f>SUM(E23:L23)</f>
        <v>1281.9427268211498</v>
      </c>
      <c r="G28" s="1"/>
      <c r="I28" s="1"/>
    </row>
    <row r="29" spans="1:18" x14ac:dyDescent="0.25">
      <c r="D29" t="s">
        <v>158</v>
      </c>
    </row>
    <row r="30" spans="1:18" x14ac:dyDescent="0.25">
      <c r="E30" s="27">
        <f>SUM(M23:Q23)</f>
        <v>-188.55689891873257</v>
      </c>
    </row>
    <row r="31" spans="1:18" x14ac:dyDescent="0.25">
      <c r="D31" t="s">
        <v>177</v>
      </c>
    </row>
    <row r="32" spans="1:18" x14ac:dyDescent="0.25">
      <c r="E32" s="27">
        <f>E28+E30</f>
        <v>1093.3858279024173</v>
      </c>
    </row>
    <row r="33" spans="1:18" x14ac:dyDescent="0.25">
      <c r="D33" t="s">
        <v>160</v>
      </c>
    </row>
    <row r="34" spans="1:18" x14ac:dyDescent="0.25">
      <c r="E34" s="27">
        <f>SUM(E23:L23)</f>
        <v>1281.9427268211498</v>
      </c>
    </row>
    <row r="36" spans="1:18" x14ac:dyDescent="0.25">
      <c r="A36" t="s">
        <v>161</v>
      </c>
    </row>
    <row r="37" spans="1:18" x14ac:dyDescent="0.25">
      <c r="D37" s="2">
        <v>2015</v>
      </c>
      <c r="E37" s="2">
        <v>2016</v>
      </c>
      <c r="F37" s="2">
        <v>2017</v>
      </c>
      <c r="G37" s="2">
        <v>2018</v>
      </c>
      <c r="H37" s="2">
        <v>2019</v>
      </c>
      <c r="I37" s="2">
        <v>2020</v>
      </c>
      <c r="J37" s="2">
        <v>2021</v>
      </c>
      <c r="K37" s="2">
        <v>2022</v>
      </c>
      <c r="L37" s="2">
        <v>2023</v>
      </c>
      <c r="M37" s="2">
        <v>2024</v>
      </c>
      <c r="N37" s="2">
        <v>2025</v>
      </c>
      <c r="O37" s="2">
        <v>2026</v>
      </c>
      <c r="P37" s="2">
        <v>2027</v>
      </c>
      <c r="Q37" s="2">
        <v>2028</v>
      </c>
    </row>
    <row r="38" spans="1:18" x14ac:dyDescent="0.25">
      <c r="A38" s="18"/>
      <c r="E38" s="45">
        <f>'Sector values'!G55</f>
        <v>3.7968995408463588E-2</v>
      </c>
      <c r="F38" s="45">
        <f>'Sector values'!H55</f>
        <v>3.7055537809792358E-2</v>
      </c>
      <c r="G38" s="45">
        <f>'Sector values'!I55</f>
        <v>3.6157595584664574E-2</v>
      </c>
      <c r="H38" s="45">
        <f>'Sector values'!J55</f>
        <v>3.465177591873219E-2</v>
      </c>
      <c r="I38" s="45">
        <f>'Sector values'!K55</f>
        <v>3.3335440022803947E-2</v>
      </c>
      <c r="J38" s="45">
        <f>'Sector values'!L55</f>
        <v>3.1662901160518217E-2</v>
      </c>
      <c r="K38" s="45">
        <f>'Sector values'!M55</f>
        <v>3.0288024570673203E-2</v>
      </c>
      <c r="L38" s="45">
        <f>'Sector values'!N55</f>
        <v>2.8736151492842213E-2</v>
      </c>
      <c r="M38" s="45">
        <f>'Sector values'!O55</f>
        <v>3.9630884855382284E-2</v>
      </c>
      <c r="N38" s="45">
        <f>'Sector values'!P55</f>
        <v>3.9472605947333948E-2</v>
      </c>
      <c r="O38" s="45">
        <f>'Sector values'!Q55</f>
        <v>3.9420399364672842E-2</v>
      </c>
      <c r="P38" s="45">
        <f>'Sector values'!R55</f>
        <v>3.9046927800144925E-2</v>
      </c>
      <c r="Q38" s="45">
        <f>'Sector values'!S55</f>
        <v>3.8641247719223018E-2</v>
      </c>
      <c r="R38" s="44" t="s">
        <v>178</v>
      </c>
    </row>
    <row r="39" spans="1:18" x14ac:dyDescent="0.25">
      <c r="E39" s="45">
        <f>E5-1</f>
        <v>1.0779220779220777E-2</v>
      </c>
      <c r="F39" s="45">
        <f t="shared" ref="F39:Q39" si="12">F5-1</f>
        <v>2.1424900424001248E-2</v>
      </c>
      <c r="G39" s="45">
        <f t="shared" si="12"/>
        <v>3.7422560457875953E-2</v>
      </c>
      <c r="H39" s="45">
        <f t="shared" si="12"/>
        <v>3.0555639758707454E-2</v>
      </c>
      <c r="I39" s="45">
        <f t="shared" si="12"/>
        <v>2.5884636879724532E-2</v>
      </c>
      <c r="J39" s="45">
        <f t="shared" si="12"/>
        <v>1.2128336726209277E-2</v>
      </c>
      <c r="K39" s="45">
        <f t="shared" si="12"/>
        <v>5.7762039660056441E-2</v>
      </c>
      <c r="L39" s="45">
        <f t="shared" si="12"/>
        <v>0.12873938777149907</v>
      </c>
      <c r="M39" s="45">
        <f t="shared" si="12"/>
        <v>5.2494606251392018E-2</v>
      </c>
      <c r="N39" s="45">
        <f t="shared" si="12"/>
        <v>6.0915819839344465E-3</v>
      </c>
      <c r="O39" s="45">
        <f t="shared" si="12"/>
        <v>-2.2221369385422296E-4</v>
      </c>
      <c r="P39" s="45">
        <f t="shared" si="12"/>
        <v>8.398414871114035E-3</v>
      </c>
      <c r="Q39" s="45">
        <f t="shared" si="12"/>
        <v>1.7365149834534188E-2</v>
      </c>
      <c r="R39" s="44" t="s">
        <v>163</v>
      </c>
    </row>
    <row r="40" spans="1:18" x14ac:dyDescent="0.25">
      <c r="E40" s="71">
        <f>(1+E38)*(1+E39)-1</f>
        <v>4.9157492371957545E-2</v>
      </c>
      <c r="F40" s="71">
        <f t="shared" ref="F40:Q40" si="13">(1+F38)*(1+F39)-1</f>
        <v>5.9274349441526208E-2</v>
      </c>
      <c r="G40" s="71">
        <f t="shared" si="13"/>
        <v>7.493326584931892E-2</v>
      </c>
      <c r="H40" s="71">
        <f t="shared" si="13"/>
        <v>6.626622285941175E-2</v>
      </c>
      <c r="I40" s="71">
        <f t="shared" si="13"/>
        <v>6.0082952662744438E-2</v>
      </c>
      <c r="J40" s="71">
        <f t="shared" si="13"/>
        <v>4.4175256213730973E-2</v>
      </c>
      <c r="K40" s="71">
        <f t="shared" si="13"/>
        <v>8.9799562307205649E-2</v>
      </c>
      <c r="L40" s="71">
        <f t="shared" si="13"/>
        <v>0.16117501381443877</v>
      </c>
      <c r="M40" s="71">
        <f t="shared" si="13"/>
        <v>9.4205898802651955E-2</v>
      </c>
      <c r="N40" s="71">
        <f t="shared" si="13"/>
        <v>4.5804638546516285E-2</v>
      </c>
      <c r="O40" s="71">
        <f t="shared" si="13"/>
        <v>3.9189425918262577E-2</v>
      </c>
      <c r="P40" s="71">
        <f t="shared" si="13"/>
        <v>4.7773274970366986E-2</v>
      </c>
      <c r="Q40" s="71">
        <f t="shared" si="13"/>
        <v>5.6677408610194879E-2</v>
      </c>
      <c r="R40" s="44" t="s">
        <v>179</v>
      </c>
    </row>
    <row r="41" spans="1:18" x14ac:dyDescent="0.25">
      <c r="E41" s="72">
        <f>E40+1</f>
        <v>1.0491574923719575</v>
      </c>
      <c r="F41" s="72">
        <f t="shared" ref="F41:Q41" si="14">F40+1</f>
        <v>1.0592743494415262</v>
      </c>
      <c r="G41" s="72">
        <f t="shared" si="14"/>
        <v>1.0749332658493189</v>
      </c>
      <c r="H41" s="72">
        <f t="shared" si="14"/>
        <v>1.0662662228594117</v>
      </c>
      <c r="I41" s="72">
        <f t="shared" si="14"/>
        <v>1.0600829526627444</v>
      </c>
      <c r="J41" s="72">
        <f t="shared" si="14"/>
        <v>1.044175256213731</v>
      </c>
      <c r="K41" s="72">
        <f t="shared" si="14"/>
        <v>1.0897995623072056</v>
      </c>
      <c r="L41" s="72">
        <f t="shared" si="14"/>
        <v>1.1611750138144388</v>
      </c>
      <c r="M41" s="72">
        <f t="shared" si="14"/>
        <v>1.094205898802652</v>
      </c>
      <c r="N41" s="72">
        <f t="shared" si="14"/>
        <v>1.0458046385465163</v>
      </c>
      <c r="O41" s="72">
        <f t="shared" si="14"/>
        <v>1.0391894259182626</v>
      </c>
      <c r="P41" s="72">
        <f t="shared" si="14"/>
        <v>1.047773274970367</v>
      </c>
      <c r="Q41" s="72">
        <f t="shared" si="14"/>
        <v>1.0566774086101949</v>
      </c>
      <c r="R41" s="44" t="s">
        <v>165</v>
      </c>
    </row>
    <row r="42" spans="1:18" x14ac:dyDescent="0.25">
      <c r="E42" s="72">
        <f t="shared" ref="E42:K42" si="15">F42/F41</f>
        <v>0.58801286729275226</v>
      </c>
      <c r="F42" s="72">
        <f t="shared" si="15"/>
        <v>0.62286694746477667</v>
      </c>
      <c r="G42" s="72">
        <f t="shared" si="15"/>
        <v>0.66954040202790854</v>
      </c>
      <c r="H42" s="72">
        <f t="shared" si="15"/>
        <v>0.71390831552207001</v>
      </c>
      <c r="I42" s="72">
        <f t="shared" si="15"/>
        <v>0.75680203504912213</v>
      </c>
      <c r="J42" s="72">
        <f t="shared" si="15"/>
        <v>0.79023395885049008</v>
      </c>
      <c r="K42" s="72">
        <f t="shared" si="15"/>
        <v>0.86119662247555451</v>
      </c>
      <c r="L42" s="72">
        <v>1</v>
      </c>
      <c r="M42" s="72">
        <f t="shared" ref="M42" si="16">M41*L42</f>
        <v>1.094205898802652</v>
      </c>
      <c r="N42" s="72">
        <f t="shared" ref="N42" si="17">N41*M42</f>
        <v>1.1443256044927734</v>
      </c>
      <c r="O42" s="72">
        <f t="shared" ref="O42" si="18">O41*N42</f>
        <v>1.189171067996414</v>
      </c>
      <c r="P42" s="72">
        <f t="shared" ref="P42:Q42" si="19">P41*O42</f>
        <v>1.2459816644146118</v>
      </c>
      <c r="Q42" s="72">
        <f t="shared" si="19"/>
        <v>1.3166006763294495</v>
      </c>
      <c r="R42" s="44" t="s">
        <v>166</v>
      </c>
    </row>
    <row r="43" spans="1:18" x14ac:dyDescent="0.25">
      <c r="E43" s="27">
        <f>E23/E42</f>
        <v>-336.0210722576648</v>
      </c>
      <c r="F43" s="27">
        <f t="shared" ref="F43:Q43" si="20">F23/F42</f>
        <v>-142.95524679339087</v>
      </c>
      <c r="G43" s="27">
        <f t="shared" si="20"/>
        <v>131.15353459171578</v>
      </c>
      <c r="H43" s="27">
        <f t="shared" si="20"/>
        <v>14.515781336309271</v>
      </c>
      <c r="I43" s="27">
        <f t="shared" si="20"/>
        <v>-65.486269309607508</v>
      </c>
      <c r="J43" s="27">
        <f t="shared" si="20"/>
        <v>-297.28647579609446</v>
      </c>
      <c r="K43" s="27">
        <f t="shared" si="20"/>
        <v>412.77184912650927</v>
      </c>
      <c r="L43" s="27">
        <f t="shared" si="20"/>
        <v>1399.4023001458327</v>
      </c>
      <c r="M43" s="27">
        <f t="shared" si="20"/>
        <v>470.65459061030697</v>
      </c>
      <c r="N43" s="27">
        <f t="shared" si="20"/>
        <v>-165.75184191010814</v>
      </c>
      <c r="O43" s="27">
        <f t="shared" si="20"/>
        <v>-261.18991459508766</v>
      </c>
      <c r="P43" s="27">
        <f t="shared" si="20"/>
        <v>-142.98813642143261</v>
      </c>
      <c r="Q43" s="27">
        <f t="shared" si="20"/>
        <v>-19.076221155126575</v>
      </c>
      <c r="R43" s="44" t="s">
        <v>167</v>
      </c>
    </row>
    <row r="46" spans="1:18" x14ac:dyDescent="0.25">
      <c r="D46" t="s">
        <v>156</v>
      </c>
    </row>
    <row r="47" spans="1:18" x14ac:dyDescent="0.25">
      <c r="E47" s="38" t="s">
        <v>157</v>
      </c>
    </row>
    <row r="48" spans="1:18" x14ac:dyDescent="0.25">
      <c r="E48" s="27">
        <f>SUM(E43:L43)</f>
        <v>1116.0944010436094</v>
      </c>
    </row>
    <row r="49" spans="1:18" x14ac:dyDescent="0.25">
      <c r="D49" t="s">
        <v>158</v>
      </c>
    </row>
    <row r="50" spans="1:18" x14ac:dyDescent="0.25">
      <c r="E50" s="27">
        <f>SUM(M43:Q43)</f>
        <v>-118.35152347144805</v>
      </c>
    </row>
    <row r="51" spans="1:18" x14ac:dyDescent="0.25">
      <c r="D51" t="s">
        <v>177</v>
      </c>
    </row>
    <row r="52" spans="1:18" x14ac:dyDescent="0.25">
      <c r="E52" s="27">
        <f>E48+E50</f>
        <v>997.74287757216143</v>
      </c>
    </row>
    <row r="53" spans="1:18" x14ac:dyDescent="0.25">
      <c r="D53" t="s">
        <v>160</v>
      </c>
    </row>
    <row r="54" spans="1:18" x14ac:dyDescent="0.25">
      <c r="E54" s="27">
        <f>SUM(C43:L43)</f>
        <v>1116.0944010436094</v>
      </c>
    </row>
    <row r="56" spans="1:18" x14ac:dyDescent="0.25">
      <c r="A56" t="s">
        <v>168</v>
      </c>
      <c r="F56" s="1"/>
    </row>
    <row r="57" spans="1:18" x14ac:dyDescent="0.25">
      <c r="E57" s="71">
        <f>AVERAGE(E40:Q40)</f>
        <v>6.8347289412948223E-2</v>
      </c>
      <c r="R57" s="44" t="s">
        <v>180</v>
      </c>
    </row>
    <row r="58" spans="1:18" x14ac:dyDescent="0.25">
      <c r="E58" s="51">
        <f>Data!E217</f>
        <v>30.2</v>
      </c>
      <c r="R58" s="44" t="s">
        <v>181</v>
      </c>
    </row>
    <row r="59" spans="1:18" x14ac:dyDescent="0.25">
      <c r="E59" s="22">
        <f>Data!F217</f>
        <v>0.91</v>
      </c>
      <c r="R59" s="44" t="s">
        <v>182</v>
      </c>
    </row>
    <row r="60" spans="1:18" x14ac:dyDescent="0.25">
      <c r="E60" s="22">
        <f>Data!G217</f>
        <v>0.46</v>
      </c>
      <c r="R60" s="44" t="s">
        <v>183</v>
      </c>
    </row>
    <row r="61" spans="1:18" x14ac:dyDescent="0.25">
      <c r="E61" s="49">
        <f>ROUND(-PMT(E57,45,(E52*E60)/(E58*E59)),1)</f>
        <v>1.2</v>
      </c>
      <c r="F61" s="57"/>
      <c r="G61" s="57"/>
      <c r="H61" s="57"/>
      <c r="I61" s="57"/>
      <c r="R61" s="44" t="s">
        <v>173</v>
      </c>
    </row>
    <row r="63" spans="1:18" x14ac:dyDescent="0.25">
      <c r="A63" t="s">
        <v>174</v>
      </c>
    </row>
    <row r="64" spans="1:18" x14ac:dyDescent="0.25">
      <c r="E64" s="71">
        <f>AVERAGE(E40:L40)</f>
        <v>7.5608014440041782E-2</v>
      </c>
      <c r="R64" s="44" t="s">
        <v>180</v>
      </c>
    </row>
    <row r="65" spans="5:18" x14ac:dyDescent="0.25">
      <c r="E65" s="51">
        <f>Data!E217</f>
        <v>30.2</v>
      </c>
      <c r="R65" s="44" t="s">
        <v>181</v>
      </c>
    </row>
    <row r="66" spans="5:18" x14ac:dyDescent="0.25">
      <c r="E66" s="22">
        <f>Data!F217</f>
        <v>0.91</v>
      </c>
      <c r="R66" s="44" t="s">
        <v>182</v>
      </c>
    </row>
    <row r="67" spans="5:18" x14ac:dyDescent="0.25">
      <c r="E67" s="22">
        <f>Data!G217</f>
        <v>0.46</v>
      </c>
      <c r="R67" s="44" t="s">
        <v>183</v>
      </c>
    </row>
    <row r="68" spans="5:18" x14ac:dyDescent="0.25">
      <c r="E68" s="49">
        <f>ROUND(-PMT(E64,45,(E54*E67)/(E65*E66)),1)</f>
        <v>1.5</v>
      </c>
      <c r="R68" s="44" t="s">
        <v>173</v>
      </c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 altText="Drop-down box allowing user to switch between OBR and HMT inflation forecasts.">
                <anchor moveWithCells="1">
                  <from>
                    <xdr:col>18</xdr:col>
                    <xdr:colOff>228600</xdr:colOff>
                    <xdr:row>0</xdr:row>
                    <xdr:rowOff>171450</xdr:rowOff>
                  </from>
                  <to>
                    <xdr:col>21</xdr:col>
                    <xdr:colOff>19050</xdr:colOff>
                    <xdr:row>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7E6A6-2839-4F20-BDE6-ADC99540C1E4}">
  <sheetPr>
    <pageSetUpPr autoPageBreaks="0"/>
  </sheetPr>
  <dimension ref="A1:Q45"/>
  <sheetViews>
    <sheetView zoomScaleNormal="100" workbookViewId="0"/>
  </sheetViews>
  <sheetFormatPr defaultRowHeight="15" x14ac:dyDescent="0.25"/>
  <cols>
    <col min="7" max="9" width="9.5703125" bestFit="1" customWidth="1"/>
    <col min="11" max="12" width="9.28515625" bestFit="1" customWidth="1"/>
    <col min="13" max="13" width="9.5703125" bestFit="1" customWidth="1"/>
  </cols>
  <sheetData>
    <row r="1" spans="1:5" x14ac:dyDescent="0.25">
      <c r="A1" t="s">
        <v>184</v>
      </c>
    </row>
    <row r="3" spans="1:5" x14ac:dyDescent="0.25">
      <c r="B3" s="40" t="s">
        <v>185</v>
      </c>
    </row>
    <row r="4" spans="1:5" x14ac:dyDescent="0.25">
      <c r="C4" t="s">
        <v>186</v>
      </c>
      <c r="D4" t="s">
        <v>187</v>
      </c>
      <c r="E4" s="2" t="s">
        <v>188</v>
      </c>
    </row>
    <row r="5" spans="1:5" x14ac:dyDescent="0.25">
      <c r="B5" t="s">
        <v>189</v>
      </c>
      <c r="C5" s="1">
        <f>'ET-GT-GD'!E28</f>
        <v>-981.32350025171536</v>
      </c>
      <c r="D5" s="1">
        <f>ED!E28</f>
        <v>1281.9427268211498</v>
      </c>
      <c r="E5" s="33">
        <f>SUM(C5:D5)</f>
        <v>300.61922656943443</v>
      </c>
    </row>
    <row r="6" spans="1:5" x14ac:dyDescent="0.25">
      <c r="B6" t="s">
        <v>190</v>
      </c>
      <c r="C6" s="1">
        <f>'ET-GT-GD'!E30</f>
        <v>1522.5241490947594</v>
      </c>
      <c r="D6" s="1">
        <f>ED!E30</f>
        <v>-188.55689891873257</v>
      </c>
      <c r="E6" s="33">
        <f t="shared" ref="E6:E7" si="0">SUM(C6:D6)</f>
        <v>1333.9672501760269</v>
      </c>
    </row>
    <row r="7" spans="1:5" x14ac:dyDescent="0.25">
      <c r="B7" s="2" t="s">
        <v>188</v>
      </c>
      <c r="C7" s="33">
        <f>SUM(C5:C6)</f>
        <v>541.20064884304406</v>
      </c>
      <c r="D7" s="33">
        <f>SUM(D5:D6)</f>
        <v>1093.3858279024173</v>
      </c>
      <c r="E7" s="33">
        <f t="shared" si="0"/>
        <v>1634.5864767454614</v>
      </c>
    </row>
    <row r="9" spans="1:5" x14ac:dyDescent="0.25">
      <c r="B9" s="40" t="s">
        <v>191</v>
      </c>
    </row>
    <row r="10" spans="1:5" x14ac:dyDescent="0.25">
      <c r="C10" t="s">
        <v>186</v>
      </c>
      <c r="D10" t="s">
        <v>187</v>
      </c>
      <c r="E10" s="2" t="s">
        <v>188</v>
      </c>
    </row>
    <row r="11" spans="1:5" x14ac:dyDescent="0.25">
      <c r="B11" t="s">
        <v>189</v>
      </c>
      <c r="C11" s="1">
        <f>'ET-GT-GD'!E48</f>
        <v>-1423.6355457894147</v>
      </c>
      <c r="D11" s="1">
        <f>ED!E48</f>
        <v>1116.0944010436094</v>
      </c>
      <c r="E11" s="33">
        <f>SUM(C11:D11)</f>
        <v>-307.54114474580524</v>
      </c>
    </row>
    <row r="12" spans="1:5" x14ac:dyDescent="0.25">
      <c r="B12" t="s">
        <v>190</v>
      </c>
      <c r="C12" s="1">
        <f>'ET-GT-GD'!E50</f>
        <v>1632.5917905778042</v>
      </c>
      <c r="D12" s="1">
        <f>ED!E50</f>
        <v>-118.35152347144805</v>
      </c>
      <c r="E12" s="33">
        <f t="shared" ref="E12" si="1">SUM(C12:D12)</f>
        <v>1514.2402671063562</v>
      </c>
    </row>
    <row r="13" spans="1:5" x14ac:dyDescent="0.25">
      <c r="B13" s="2" t="s">
        <v>188</v>
      </c>
      <c r="C13" s="33">
        <f>SUM(C11:C12)</f>
        <v>208.95624478838954</v>
      </c>
      <c r="D13" s="33">
        <f>SUM(D11:D12)</f>
        <v>997.74287757216143</v>
      </c>
      <c r="E13" s="33">
        <f>SUM(C13:D13)</f>
        <v>1206.699122360551</v>
      </c>
    </row>
    <row r="15" spans="1:5" x14ac:dyDescent="0.25">
      <c r="B15" s="40" t="s">
        <v>192</v>
      </c>
      <c r="E15" s="1"/>
    </row>
    <row r="16" spans="1:5" x14ac:dyDescent="0.25">
      <c r="C16" t="s">
        <v>186</v>
      </c>
      <c r="D16" t="s">
        <v>187</v>
      </c>
      <c r="E16" s="2" t="s">
        <v>188</v>
      </c>
    </row>
    <row r="17" spans="1:17" x14ac:dyDescent="0.25">
      <c r="B17" t="s">
        <v>188</v>
      </c>
      <c r="C17" s="9">
        <f>'ET-GT-GD'!E61</f>
        <v>0.3</v>
      </c>
      <c r="D17" s="9">
        <f>ED!E61</f>
        <v>1.2</v>
      </c>
      <c r="E17" s="50">
        <f>C17+D17</f>
        <v>1.5</v>
      </c>
    </row>
    <row r="20" spans="1:17" x14ac:dyDescent="0.25">
      <c r="A20" t="s">
        <v>193</v>
      </c>
    </row>
    <row r="22" spans="1:17" x14ac:dyDescent="0.25">
      <c r="B22" s="40" t="s">
        <v>185</v>
      </c>
    </row>
    <row r="23" spans="1:17" x14ac:dyDescent="0.25">
      <c r="C23" t="s">
        <v>186</v>
      </c>
      <c r="D23" t="s">
        <v>187</v>
      </c>
      <c r="E23" s="2" t="s">
        <v>188</v>
      </c>
      <c r="K23" s="48"/>
      <c r="L23" s="48"/>
      <c r="M23" s="48"/>
      <c r="N23" s="48"/>
      <c r="O23" s="60"/>
      <c r="P23" s="60"/>
      <c r="Q23" s="60"/>
    </row>
    <row r="24" spans="1:17" x14ac:dyDescent="0.25">
      <c r="B24" t="s">
        <v>194</v>
      </c>
      <c r="C24" s="1">
        <f>'ET-GT-GD'!E34</f>
        <v>951.21109638873213</v>
      </c>
      <c r="D24" s="1">
        <f>ED!E34</f>
        <v>1281.9427268211498</v>
      </c>
      <c r="E24" s="33">
        <f>SUM(C24:D24)</f>
        <v>2233.1538232098819</v>
      </c>
      <c r="K24" s="59"/>
      <c r="L24" s="59"/>
      <c r="M24" s="59"/>
      <c r="N24" s="59"/>
      <c r="O24" s="58"/>
      <c r="P24" s="58"/>
      <c r="Q24" s="58"/>
    </row>
    <row r="25" spans="1:17" x14ac:dyDescent="0.25">
      <c r="K25" s="59"/>
      <c r="L25" s="59"/>
      <c r="M25" s="59"/>
    </row>
    <row r="26" spans="1:17" x14ac:dyDescent="0.25">
      <c r="B26" s="40" t="s">
        <v>191</v>
      </c>
    </row>
    <row r="27" spans="1:17" x14ac:dyDescent="0.25">
      <c r="C27" t="s">
        <v>186</v>
      </c>
      <c r="D27" t="s">
        <v>187</v>
      </c>
      <c r="E27" s="2" t="s">
        <v>188</v>
      </c>
      <c r="K27" s="48"/>
      <c r="L27" s="48"/>
      <c r="M27" s="48"/>
    </row>
    <row r="28" spans="1:17" x14ac:dyDescent="0.25">
      <c r="B28" t="s">
        <v>194</v>
      </c>
      <c r="C28" s="1">
        <f>'ET-GT-GD'!E54</f>
        <v>419.19272917595958</v>
      </c>
      <c r="D28" s="1">
        <f>ED!E54</f>
        <v>1116.0944010436094</v>
      </c>
      <c r="E28" s="33">
        <f>SUM(C28:D28)</f>
        <v>1535.287130219569</v>
      </c>
      <c r="K28" s="59"/>
      <c r="L28" s="59"/>
      <c r="M28" s="59"/>
    </row>
    <row r="29" spans="1:17" x14ac:dyDescent="0.25">
      <c r="C29" s="1"/>
      <c r="D29" s="1"/>
      <c r="E29" s="33"/>
      <c r="K29" s="59"/>
      <c r="L29" s="59"/>
      <c r="M29" s="59"/>
    </row>
    <row r="30" spans="1:17" x14ac:dyDescent="0.25">
      <c r="B30" s="40" t="s">
        <v>192</v>
      </c>
      <c r="E30" s="1"/>
    </row>
    <row r="31" spans="1:17" x14ac:dyDescent="0.25">
      <c r="C31" t="s">
        <v>186</v>
      </c>
      <c r="D31" t="s">
        <v>187</v>
      </c>
      <c r="E31" s="2" t="s">
        <v>188</v>
      </c>
    </row>
    <row r="32" spans="1:17" x14ac:dyDescent="0.25">
      <c r="B32" t="s">
        <v>188</v>
      </c>
      <c r="C32" s="9">
        <f>'ET-GT-GD'!E68</f>
        <v>0.8</v>
      </c>
      <c r="D32" s="9">
        <f>ED!E68</f>
        <v>1.5</v>
      </c>
      <c r="E32" s="50">
        <f>C32+D32</f>
        <v>2.2999999999999998</v>
      </c>
      <c r="K32" s="48"/>
      <c r="L32" s="48"/>
      <c r="M32" s="48"/>
    </row>
    <row r="33" spans="5:13" x14ac:dyDescent="0.25">
      <c r="E33" s="1"/>
      <c r="K33" s="59"/>
      <c r="L33" s="59"/>
      <c r="M33" s="59"/>
    </row>
    <row r="34" spans="5:13" x14ac:dyDescent="0.25">
      <c r="K34" s="59"/>
      <c r="L34" s="59"/>
      <c r="M34" s="59"/>
    </row>
    <row r="35" spans="5:13" x14ac:dyDescent="0.25">
      <c r="I35" s="57"/>
      <c r="J35" s="17"/>
    </row>
    <row r="36" spans="5:13" x14ac:dyDescent="0.25">
      <c r="I36" s="57"/>
    </row>
    <row r="39" spans="5:13" x14ac:dyDescent="0.25">
      <c r="G39" s="48"/>
      <c r="H39" s="48"/>
      <c r="I39" s="48"/>
    </row>
    <row r="41" spans="5:13" x14ac:dyDescent="0.25">
      <c r="G41" s="58"/>
      <c r="H41" s="58"/>
      <c r="I41" s="58"/>
    </row>
    <row r="43" spans="5:13" x14ac:dyDescent="0.25">
      <c r="G43" s="48"/>
      <c r="H43" s="48"/>
      <c r="I43" s="48"/>
    </row>
    <row r="45" spans="5:13" x14ac:dyDescent="0.25">
      <c r="G45" s="58"/>
      <c r="H45" s="58"/>
      <c r="I45" s="58"/>
    </row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 altText="Drop-down box allowing user to switch between OBR and HMT inflation forecasts.">
                <anchor moveWithCells="1">
                  <from>
                    <xdr:col>6</xdr:col>
                    <xdr:colOff>228600</xdr:colOff>
                    <xdr:row>3</xdr:row>
                    <xdr:rowOff>9525</xdr:rowOff>
                  </from>
                  <to>
                    <xdr:col>8</xdr:col>
                    <xdr:colOff>571500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539F3938D4EB4193416675C8924EB7" ma:contentTypeVersion="9" ma:contentTypeDescription="Create a new document." ma:contentTypeScope="" ma:versionID="86e2c6cee0f81a8aa1470c84a207416e">
  <xsd:schema xmlns:xsd="http://www.w3.org/2001/XMLSchema" xmlns:xs="http://www.w3.org/2001/XMLSchema" xmlns:p="http://schemas.microsoft.com/office/2006/metadata/properties" xmlns:ns1="http://schemas.microsoft.com/sharepoint/v3" xmlns:ns2="8fcf80a8-0328-437d-92dd-d6951f8755f5" xmlns:ns3="5e79ee33-b7aa-48c1-93a0-353a160840fd" targetNamespace="http://schemas.microsoft.com/office/2006/metadata/properties" ma:root="true" ma:fieldsID="6f7b909c6be14dad539c2367f8ac52dc" ns1:_="" ns2:_="" ns3:_="">
    <xsd:import namespace="http://schemas.microsoft.com/sharepoint/v3"/>
    <xsd:import namespace="8fcf80a8-0328-437d-92dd-d6951f8755f5"/>
    <xsd:import namespace="5e79ee33-b7aa-48c1-93a0-353a160840fd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cf80a8-0328-437d-92dd-d6951f8755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9ee33-b7aa-48c1-93a0-353a160840f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5e79ee33-b7aa-48c1-93a0-353a160840fd">
      <UserInfo>
        <DisplayName>Eirini Papoutsi</DisplayName>
        <AccountId>258</AccountId>
        <AccountType/>
      </UserInfo>
      <UserInfo>
        <DisplayName>Steven Zhang</DisplayName>
        <AccountId>166</AccountId>
        <AccountType/>
      </UserInfo>
      <UserInfo>
        <DisplayName>Stefan Blanchard</DisplayName>
        <AccountId>138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defaultValue">
  <element uid="id_classification_nonbusiness" value=""/>
  <element uid="eaadb568-f939-47e9-ab90-f00bdd47735e" value=""/>
</sisl>
</file>

<file path=customXml/itemProps1.xml><?xml version="1.0" encoding="utf-8"?>
<ds:datastoreItem xmlns:ds="http://schemas.openxmlformats.org/officeDocument/2006/customXml" ds:itemID="{19823051-095F-4882-97D6-3CB2F48AC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cf80a8-0328-437d-92dd-d6951f8755f5"/>
    <ds:schemaRef ds:uri="5e79ee33-b7aa-48c1-93a0-353a160840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EAB6A0-A491-41CF-80A6-3644A70241FF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8fcf80a8-0328-437d-92dd-d6951f8755f5"/>
    <ds:schemaRef ds:uri="http://schemas.microsoft.com/sharepoint/v3"/>
    <ds:schemaRef ds:uri="5e79ee33-b7aa-48c1-93a0-353a160840fd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F6F5D7A-9313-4CCB-BD90-4417AD49B0A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A0482E2-CF02-4AFA-AFCE-29D14E687B3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</vt:lpstr>
      <vt:lpstr>Single Year Example</vt:lpstr>
      <vt:lpstr>Multi Year Example</vt:lpstr>
      <vt:lpstr>Sector values</vt:lpstr>
      <vt:lpstr>ET-GT-GD</vt:lpstr>
      <vt:lpstr>ED</vt:lpstr>
      <vt:lpstr>Totals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Lomas</dc:creator>
  <cp:keywords/>
  <dc:description/>
  <cp:lastModifiedBy>Stefan Blanchard</cp:lastModifiedBy>
  <cp:revision/>
  <dcterms:created xsi:type="dcterms:W3CDTF">2023-05-18T16:50:21Z</dcterms:created>
  <dcterms:modified xsi:type="dcterms:W3CDTF">2023-07-31T15:33:51Z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5fa2e8b1-7ba4-4e3f-b0b6-6430309b77c0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policy="973096ae-7329-4b3b-9368-47aeba6959e1" origin="defaultValue" xmlns="http://www.boldonj</vt:lpwstr>
  </property>
  <property fmtid="{D5CDD505-2E9C-101B-9397-08002B2CF9AE}" pid="4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5" name="bjDocumentSecurityLabel">
    <vt:lpwstr>OFFICIAL Internal Only</vt:lpwstr>
  </property>
  <property fmtid="{D5CDD505-2E9C-101B-9397-08002B2CF9AE}" pid="6" name="bjSaver">
    <vt:lpwstr>RwYhLYqPYZcpWQeTtyJbO4R+egLOOotA</vt:lpwstr>
  </property>
  <property fmtid="{D5CDD505-2E9C-101B-9397-08002B2CF9AE}" pid="7" name="bjClsUserRVM">
    <vt:lpwstr>[]</vt:lpwstr>
  </property>
  <property fmtid="{D5CDD505-2E9C-101B-9397-08002B2CF9AE}" pid="8" name="bjCentreHeaderLabel-first">
    <vt:lpwstr>&amp;"Verdana,Regular"&amp;10&amp;K000000Internal Only</vt:lpwstr>
  </property>
  <property fmtid="{D5CDD505-2E9C-101B-9397-08002B2CF9AE}" pid="9" name="bjCentreFooterLabel-first">
    <vt:lpwstr>&amp;"Verdana,Regular"&amp;10&amp;K000000Internal Only</vt:lpwstr>
  </property>
  <property fmtid="{D5CDD505-2E9C-101B-9397-08002B2CF9AE}" pid="10" name="bjCentreHeaderLabel-even">
    <vt:lpwstr>&amp;"Verdana,Regular"&amp;10&amp;K000000Internal Only</vt:lpwstr>
  </property>
  <property fmtid="{D5CDD505-2E9C-101B-9397-08002B2CF9AE}" pid="11" name="bjCentreFooterLabel-even">
    <vt:lpwstr>&amp;"Verdana,Regular"&amp;10&amp;K000000Internal Only</vt:lpwstr>
  </property>
  <property fmtid="{D5CDD505-2E9C-101B-9397-08002B2CF9AE}" pid="12" name="bjCentreHeaderLabel">
    <vt:lpwstr>&amp;"Verdana,Regular"&amp;10&amp;K000000Internal Only</vt:lpwstr>
  </property>
  <property fmtid="{D5CDD505-2E9C-101B-9397-08002B2CF9AE}" pid="13" name="bjCentreFooterLabel">
    <vt:lpwstr>&amp;"Verdana,Regular"&amp;10&amp;K000000Internal Only</vt:lpwstr>
  </property>
  <property fmtid="{D5CDD505-2E9C-101B-9397-08002B2CF9AE}" pid="14" name="ContentTypeId">
    <vt:lpwstr>0x01010087539F3938D4EB4193416675C8924EB7</vt:lpwstr>
  </property>
  <property fmtid="{D5CDD505-2E9C-101B-9397-08002B2CF9AE}" pid="15" name="MSIP_Label_38144ccb-b10a-4c0f-b070-7a3b00ac7463_Enabled">
    <vt:lpwstr>true</vt:lpwstr>
  </property>
  <property fmtid="{D5CDD505-2E9C-101B-9397-08002B2CF9AE}" pid="16" name="MSIP_Label_38144ccb-b10a-4c0f-b070-7a3b00ac7463_SetDate">
    <vt:lpwstr>2023-07-20T12:12:21Z</vt:lpwstr>
  </property>
  <property fmtid="{D5CDD505-2E9C-101B-9397-08002B2CF9AE}" pid="17" name="MSIP_Label_38144ccb-b10a-4c0f-b070-7a3b00ac7463_Method">
    <vt:lpwstr>Standard</vt:lpwstr>
  </property>
  <property fmtid="{D5CDD505-2E9C-101B-9397-08002B2CF9AE}" pid="18" name="MSIP_Label_38144ccb-b10a-4c0f-b070-7a3b00ac7463_Name">
    <vt:lpwstr>InternalOnly</vt:lpwstr>
  </property>
  <property fmtid="{D5CDD505-2E9C-101B-9397-08002B2CF9AE}" pid="19" name="MSIP_Label_38144ccb-b10a-4c0f-b070-7a3b00ac7463_SiteId">
    <vt:lpwstr>185562ad-39bc-4840-8e40-be6216340c52</vt:lpwstr>
  </property>
  <property fmtid="{D5CDD505-2E9C-101B-9397-08002B2CF9AE}" pid="20" name="MSIP_Label_38144ccb-b10a-4c0f-b070-7a3b00ac7463_ActionId">
    <vt:lpwstr>b37eb261-e836-4909-9804-65bd7f80ddf2</vt:lpwstr>
  </property>
  <property fmtid="{D5CDD505-2E9C-101B-9397-08002B2CF9AE}" pid="21" name="MSIP_Label_38144ccb-b10a-4c0f-b070-7a3b00ac7463_ContentBits">
    <vt:lpwstr>2</vt:lpwstr>
  </property>
</Properties>
</file>